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tiff" ContentType="image/tiff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730" codeName="{3D1A710C-6663-3D7B-7F91-EC182F24A4BC}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balms\surfdrive\_ LEVV-LOGIC 2016-2018\_RESULTATEN\Resultaten van studenten\"/>
    </mc:Choice>
  </mc:AlternateContent>
  <xr:revisionPtr revIDLastSave="0" documentId="13_ncr:1_{71EF0A01-2471-43C2-8041-06100460191C}" xr6:coauthVersionLast="36" xr6:coauthVersionMax="36" xr10:uidLastSave="{00000000-0000-0000-0000-000000000000}"/>
  <bookViews>
    <workbookView xWindow="0" yWindow="465" windowWidth="20730" windowHeight="11760" activeTab="1" xr2:uid="{00000000-000D-0000-FFFF-FFFF00000000}"/>
  </bookViews>
  <sheets>
    <sheet name="Uitkomst 1 voertuig" sheetId="1" r:id="rId1"/>
    <sheet name="Invulveld" sheetId="4" r:id="rId2"/>
    <sheet name="Kosten grafiek" sheetId="3" r:id="rId3"/>
    <sheet name="Test afmetingen en gewicht" sheetId="2" r:id="rId4"/>
  </sheets>
  <definedNames>
    <definedName name="Leeftijd">'Test afmetingen en gewicht'!$G$31:$G$39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8" i="2" l="1"/>
  <c r="I34" i="2" s="1"/>
  <c r="T49" i="4"/>
  <c r="T37" i="4"/>
  <c r="T52" i="4"/>
  <c r="Q37" i="4"/>
  <c r="Q52" i="4" s="1"/>
  <c r="N37" i="4"/>
  <c r="N52" i="4"/>
  <c r="E37" i="4"/>
  <c r="E52" i="4" s="1"/>
  <c r="H37" i="4"/>
  <c r="H52" i="4"/>
  <c r="K37" i="4"/>
  <c r="K52" i="4" s="1"/>
  <c r="T35" i="4"/>
  <c r="T38" i="4" s="1"/>
  <c r="T40" i="4" s="1"/>
  <c r="T41" i="4" s="1"/>
  <c r="T44" i="4" s="1"/>
  <c r="T65" i="4" s="1"/>
  <c r="K45" i="2" s="1"/>
  <c r="Q35" i="4"/>
  <c r="Q38" i="4" s="1"/>
  <c r="Q40" i="4" s="1"/>
  <c r="N35" i="4"/>
  <c r="N38" i="4" s="1"/>
  <c r="N40" i="4" s="1"/>
  <c r="N41" i="4" s="1"/>
  <c r="N44" i="4" s="1"/>
  <c r="K35" i="4"/>
  <c r="K38" i="4" s="1"/>
  <c r="K40" i="4" s="1"/>
  <c r="H35" i="4"/>
  <c r="H38" i="4" s="1"/>
  <c r="H40" i="4" s="1"/>
  <c r="E35" i="4"/>
  <c r="E38" i="4" s="1"/>
  <c r="E40" i="4" s="1"/>
  <c r="U9" i="2"/>
  <c r="K34" i="4" s="1"/>
  <c r="K56" i="4"/>
  <c r="K50" i="4"/>
  <c r="G32" i="2"/>
  <c r="K59" i="4"/>
  <c r="K62" i="4"/>
  <c r="C22" i="2"/>
  <c r="H34" i="4" s="1"/>
  <c r="H56" i="4"/>
  <c r="H50" i="4"/>
  <c r="I32" i="2"/>
  <c r="H59" i="4"/>
  <c r="H62" i="4" s="1"/>
  <c r="C9" i="2"/>
  <c r="E34" i="4" s="1"/>
  <c r="E56" i="4"/>
  <c r="E50" i="4"/>
  <c r="E59" i="4"/>
  <c r="E62" i="4" s="1"/>
  <c r="C44" i="2"/>
  <c r="L40" i="1" s="1"/>
  <c r="L9" i="2"/>
  <c r="T34" i="4" s="1"/>
  <c r="T56" i="4"/>
  <c r="T29" i="4"/>
  <c r="T50" i="4" s="1"/>
  <c r="T59" i="4"/>
  <c r="T62" i="4"/>
  <c r="L22" i="2"/>
  <c r="Q34" i="4" s="1"/>
  <c r="Q56" i="4"/>
  <c r="Q50" i="4"/>
  <c r="Q59" i="4"/>
  <c r="Q62" i="4"/>
  <c r="U22" i="2"/>
  <c r="N34" i="4"/>
  <c r="N56" i="4"/>
  <c r="N50" i="4"/>
  <c r="N59" i="4"/>
  <c r="N62" i="4"/>
  <c r="I29" i="2"/>
  <c r="I35" i="2"/>
  <c r="I36" i="2"/>
  <c r="I37" i="2"/>
  <c r="I39" i="2"/>
  <c r="I31" i="2"/>
  <c r="I40" i="1"/>
  <c r="F40" i="1"/>
  <c r="L26" i="1"/>
  <c r="I26" i="1"/>
  <c r="F26" i="1"/>
  <c r="I38" i="1"/>
  <c r="F38" i="1"/>
  <c r="L24" i="1"/>
  <c r="L38" i="1"/>
  <c r="I24" i="1"/>
  <c r="F24" i="1"/>
  <c r="J33" i="2"/>
  <c r="O17" i="2"/>
  <c r="O21" i="2"/>
  <c r="O18" i="2"/>
  <c r="O19" i="2"/>
  <c r="X17" i="2"/>
  <c r="X21" i="2"/>
  <c r="X18" i="2"/>
  <c r="X19" i="2"/>
  <c r="X4" i="2"/>
  <c r="X8" i="2"/>
  <c r="X5" i="2"/>
  <c r="X6" i="2"/>
  <c r="M31" i="2"/>
  <c r="O8" i="2"/>
  <c r="O6" i="2"/>
  <c r="O5" i="2"/>
  <c r="O4" i="2"/>
  <c r="F21" i="2"/>
  <c r="F19" i="2"/>
  <c r="F24" i="2" s="1"/>
  <c r="F26" i="2" s="1"/>
  <c r="I22" i="1" s="1"/>
  <c r="F18" i="2"/>
  <c r="F17" i="2"/>
  <c r="F8" i="2"/>
  <c r="F6" i="2"/>
  <c r="F5" i="2"/>
  <c r="F4" i="2"/>
  <c r="H42" i="4" l="1"/>
  <c r="H41" i="4"/>
  <c r="O24" i="2"/>
  <c r="O26" i="2" s="1"/>
  <c r="I36" i="1" s="1"/>
  <c r="I38" i="2"/>
  <c r="I33" i="2"/>
  <c r="X24" i="2"/>
  <c r="X26" i="2" s="1"/>
  <c r="F36" i="1" s="1"/>
  <c r="O11" i="2"/>
  <c r="O13" i="2" s="1"/>
  <c r="L36" i="1" s="1"/>
  <c r="N65" i="4"/>
  <c r="I45" i="2" s="1"/>
  <c r="J34" i="2"/>
  <c r="J35" i="2"/>
  <c r="J39" i="2"/>
  <c r="J32" i="2"/>
  <c r="J36" i="2"/>
  <c r="J31" i="2"/>
  <c r="J37" i="2"/>
  <c r="X11" i="2"/>
  <c r="X13" i="2" s="1"/>
  <c r="L22" i="1" s="1"/>
  <c r="E51" i="4"/>
  <c r="E54" i="4" s="1"/>
  <c r="E57" i="4" s="1"/>
  <c r="H51" i="4"/>
  <c r="H54" i="4" s="1"/>
  <c r="H57" i="4" s="1"/>
  <c r="G33" i="2"/>
  <c r="G34" i="2" s="1"/>
  <c r="G35" i="2" s="1"/>
  <c r="G36" i="2" s="1"/>
  <c r="G37" i="2" s="1"/>
  <c r="G38" i="2" s="1"/>
  <c r="K27" i="4"/>
  <c r="T27" i="4"/>
  <c r="Q27" i="4"/>
  <c r="H27" i="4"/>
  <c r="E27" i="4"/>
  <c r="N42" i="4"/>
  <c r="E41" i="4"/>
  <c r="E44" i="4" s="1"/>
  <c r="E42" i="4"/>
  <c r="K42" i="4"/>
  <c r="K41" i="4"/>
  <c r="K44" i="4" s="1"/>
  <c r="Q41" i="4"/>
  <c r="Q44" i="4" s="1"/>
  <c r="Q42" i="4"/>
  <c r="F11" i="2"/>
  <c r="F13" i="2" s="1"/>
  <c r="F22" i="1" s="1"/>
  <c r="J38" i="2"/>
  <c r="N27" i="4"/>
  <c r="H44" i="4"/>
  <c r="T42" i="4"/>
  <c r="H65" i="4" l="1"/>
  <c r="G45" i="2" s="1"/>
  <c r="H64" i="4"/>
  <c r="Q65" i="4"/>
  <c r="J45" i="2" s="1"/>
  <c r="E64" i="4"/>
  <c r="E65" i="4"/>
  <c r="F45" i="2" s="1"/>
  <c r="N51" i="4"/>
  <c r="N54" i="4" s="1"/>
  <c r="N57" i="4" s="1"/>
  <c r="N64" i="4" s="1"/>
  <c r="K65" i="4"/>
  <c r="H45" i="2" s="1"/>
  <c r="T51" i="4"/>
  <c r="T54" i="4" s="1"/>
  <c r="T57" i="4" s="1"/>
  <c r="T64" i="4" s="1"/>
  <c r="K51" i="4"/>
  <c r="K54" i="4" s="1"/>
  <c r="K57" i="4" s="1"/>
  <c r="K64" i="4" s="1"/>
  <c r="Q51" i="4"/>
  <c r="Q54" i="4" s="1"/>
  <c r="Q57" i="4" s="1"/>
  <c r="Q64" i="4" s="1"/>
  <c r="Q67" i="4" l="1"/>
  <c r="H34" i="1" s="1"/>
  <c r="J46" i="2"/>
  <c r="K67" i="4"/>
  <c r="K20" i="1" s="1"/>
  <c r="H46" i="2"/>
  <c r="I46" i="2"/>
  <c r="N67" i="4"/>
  <c r="E34" i="1" s="1"/>
  <c r="K46" i="2"/>
  <c r="T67" i="4"/>
  <c r="K34" i="1" s="1"/>
  <c r="G46" i="2"/>
  <c r="H67" i="4"/>
  <c r="H20" i="1" s="1"/>
  <c r="E67" i="4"/>
  <c r="E20" i="1" s="1"/>
  <c r="F46" i="2"/>
</calcChain>
</file>

<file path=xl/sharedStrings.xml><?xml version="1.0" encoding="utf-8"?>
<sst xmlns="http://schemas.openxmlformats.org/spreadsheetml/2006/main" count="272" uniqueCount="110">
  <si>
    <t>Lengte</t>
  </si>
  <si>
    <t>Breedte</t>
  </si>
  <si>
    <t>Hoogte</t>
  </si>
  <si>
    <t>Gewicht (in KG)</t>
  </si>
  <si>
    <t>Urban Arrow Cargo</t>
  </si>
  <si>
    <t>Stint</t>
  </si>
  <si>
    <t>Laadruim lengte</t>
  </si>
  <si>
    <t>Laadruim breedte</t>
  </si>
  <si>
    <t>Laadruim hoogte</t>
  </si>
  <si>
    <t>Max. gewicht</t>
  </si>
  <si>
    <t>Lengte check</t>
  </si>
  <si>
    <t>Breedte check</t>
  </si>
  <si>
    <t>Hoogte check</t>
  </si>
  <si>
    <t>Gewicht check</t>
  </si>
  <si>
    <t>Max. inhoud (m^3)</t>
  </si>
  <si>
    <t>Totaal check</t>
  </si>
  <si>
    <t>Totale waarde</t>
  </si>
  <si>
    <t>Opel Vivaro 2700</t>
  </si>
  <si>
    <t>Ladingsgegevens</t>
  </si>
  <si>
    <t>Geconditioneerd vervoer</t>
  </si>
  <si>
    <t>Nee</t>
  </si>
  <si>
    <t xml:space="preserve">Stint </t>
  </si>
  <si>
    <t xml:space="preserve">Opel Vivaro 2700 </t>
  </si>
  <si>
    <t>Ja</t>
  </si>
  <si>
    <t>Kosten</t>
  </si>
  <si>
    <t>Aanschafkosten</t>
  </si>
  <si>
    <t>Onderhoudskosten / jaar</t>
  </si>
  <si>
    <t>Verzekeringskosten / jaar</t>
  </si>
  <si>
    <t>Brandstofkosten</t>
  </si>
  <si>
    <t>Brandstofprijs / liter</t>
  </si>
  <si>
    <t>Aantal af te leggen kilometers</t>
  </si>
  <si>
    <t>Verbruik per 100 km</t>
  </si>
  <si>
    <t>Personeelskosten / jaar</t>
  </si>
  <si>
    <t>Werkdagen / jaar</t>
  </si>
  <si>
    <t>Wegenbelasting/jaar</t>
  </si>
  <si>
    <t>Operationele eigenschappen</t>
  </si>
  <si>
    <t>Actieradius</t>
  </si>
  <si>
    <t>N.V.T.</t>
  </si>
  <si>
    <t>Inhoud tank / L</t>
  </si>
  <si>
    <t>Goupil</t>
  </si>
  <si>
    <t>Nissan e-NV 200</t>
  </si>
  <si>
    <t>Nissan e-NV200</t>
  </si>
  <si>
    <t>Goupil Reefer Van</t>
  </si>
  <si>
    <t>Goupil G5</t>
  </si>
  <si>
    <t>Goupil G5 Reefer</t>
  </si>
  <si>
    <t>Leeftijd personeel</t>
  </si>
  <si>
    <t>Leeftijd</t>
  </si>
  <si>
    <t>Minimumloon</t>
  </si>
  <si>
    <t>Loonkosten per jaar</t>
  </si>
  <si>
    <t>Uren / werkdag</t>
  </si>
  <si>
    <t>Uren per werkdag</t>
  </si>
  <si>
    <t>23+</t>
  </si>
  <si>
    <t>Zending past in voertuig test</t>
  </si>
  <si>
    <t>Af te leggen afstand test</t>
  </si>
  <si>
    <t>Minimaal 18 jaar</t>
  </si>
  <si>
    <t>Afmetingen kleinste ladingdrager (in cm)</t>
  </si>
  <si>
    <t>Aantal stops op route</t>
  </si>
  <si>
    <t>Benodigde ritten totaal te verschepen goederen</t>
  </si>
  <si>
    <t>Tijdsduur opladen accu / minuten</t>
  </si>
  <si>
    <t>Aantal ritten per 8 uur</t>
  </si>
  <si>
    <t>Aantal voertuigen om alle ritten te doen</t>
  </si>
  <si>
    <t>Totale tijdsduur per rit</t>
  </si>
  <si>
    <t>Rijtijd op de rit</t>
  </si>
  <si>
    <t>Tijdsduur laden-lossen op de rit</t>
  </si>
  <si>
    <t>min</t>
  </si>
  <si>
    <t>ritten</t>
  </si>
  <si>
    <t>Aantal ritten zonder opladen</t>
  </si>
  <si>
    <t>Tijdsduur opladen na ritten (mits batterij leeg)</t>
  </si>
  <si>
    <t>voertuig(en)</t>
  </si>
  <si>
    <t>km/h</t>
  </si>
  <si>
    <t>Afstand langste route (km, heen en weer)</t>
  </si>
  <si>
    <t>Wegenbelasting per dag</t>
  </si>
  <si>
    <t>Personeelskosten per dag</t>
  </si>
  <si>
    <t>Loonkosten per dag</t>
  </si>
  <si>
    <t>Totale kosten per dag</t>
  </si>
  <si>
    <t>Werkdagen per week</t>
  </si>
  <si>
    <t>Weken per jaar</t>
  </si>
  <si>
    <t>Aantal werkdagen per jaar</t>
  </si>
  <si>
    <t>Afschrijving</t>
  </si>
  <si>
    <t>Afschrijvingstermijn (in jaren)</t>
  </si>
  <si>
    <t>Verzekeringskosten per jaar</t>
  </si>
  <si>
    <t>Onderhoudskosten per jaar</t>
  </si>
  <si>
    <t>Operationele kosten per jaar per voertuig</t>
  </si>
  <si>
    <t>Operationele kosten vloot</t>
  </si>
  <si>
    <t>Vaste kosten per jaar per voertuig</t>
  </si>
  <si>
    <t>Vaste kosten vloot</t>
  </si>
  <si>
    <t>Gemiddelde rijsnelheid</t>
  </si>
  <si>
    <t>Volume totale te verschepen goederen op route in m^3</t>
  </si>
  <si>
    <t>Legenda</t>
  </si>
  <si>
    <t>Ingevulde velden</t>
  </si>
  <si>
    <t>In te vullen velden</t>
  </si>
  <si>
    <t>Voertuig kan worden gebruikt</t>
  </si>
  <si>
    <t>Voertuig kan niet worden gebruikt</t>
  </si>
  <si>
    <t>Totale kosten</t>
  </si>
  <si>
    <t>nee</t>
  </si>
  <si>
    <t>Wendbaarheid</t>
  </si>
  <si>
    <t>Groen imago</t>
  </si>
  <si>
    <t>voordelen</t>
  </si>
  <si>
    <t>Totale kosten per voertuig per jaar</t>
  </si>
  <si>
    <t>Uitkomsten</t>
  </si>
  <si>
    <t>Knoppen</t>
  </si>
  <si>
    <t>ja</t>
  </si>
  <si>
    <t>Gemiddelde tijd per stop (incl parkeren)</t>
  </si>
  <si>
    <t>Ongekwantificeerde</t>
  </si>
  <si>
    <t>Urban Arrow</t>
  </si>
  <si>
    <t>Gekoeld</t>
  </si>
  <si>
    <t>Gekoeld vervoer test</t>
  </si>
  <si>
    <t>Privileges</t>
  </si>
  <si>
    <t>Parkeerkosten / uur</t>
  </si>
  <si>
    <t>Parkeerkosten per dag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</si>
</sst>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 &quot;€&quot;\ * #,##0.00_ ;_ &quot;€&quot;\ * \-#,##0.00_ ;_ &quot;€&quot;\ * &quot;-&quot;??_ ;_ @_ "/>
    <numFmt numFmtId="164" formatCode="&quot;€&quot;\ #,##0.00"/>
    <numFmt numFmtId="165" formatCode="&quot;€&quot;\ #,##0.000"/>
    <numFmt numFmtId="166" formatCode="_ [$€-413]\ * #,##0.00_ ;_ [$€-413]\ * \-#,##0.00_ ;_ [$€-413]\ * &quot;-&quot;??_ ;_ @_ 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2D050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rgb="FFCAE6FC"/>
      <name val="Calibri"/>
      <family val="2"/>
      <scheme val="minor"/>
    </font>
    <font>
      <b/>
      <sz val="15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AE6FC"/>
        <bgColor indexed="64"/>
      </patternFill>
    </fill>
    <fill>
      <patternFill patternType="solid">
        <fgColor theme="4" tint="0.59999389629810485"/>
        <bgColor indexed="64"/>
      </patternFill>
    </fill>
  </fills>
  <borders count="3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70">
    <xf numFmtId="0" fontId="0" fillId="0" borderId="0" xfId="0"/>
    <xf numFmtId="0" fontId="1" fillId="0" borderId="1" xfId="0" applyFont="1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2" fontId="0" fillId="0" borderId="0" xfId="0" applyNumberFormat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8" xfId="0" applyBorder="1" applyAlignment="1">
      <alignment horizontal="right"/>
    </xf>
    <xf numFmtId="0" fontId="0" fillId="0" borderId="0" xfId="0" applyNumberFormat="1" applyBorder="1"/>
    <xf numFmtId="2" fontId="0" fillId="0" borderId="0" xfId="0" applyNumberFormat="1" applyFill="1" applyBorder="1"/>
    <xf numFmtId="0" fontId="1" fillId="0" borderId="4" xfId="0" applyFont="1" applyBorder="1"/>
    <xf numFmtId="0" fontId="0" fillId="0" borderId="5" xfId="0" applyBorder="1" applyAlignment="1">
      <alignment horizontal="right"/>
    </xf>
    <xf numFmtId="0" fontId="1" fillId="0" borderId="0" xfId="0" applyFont="1" applyFill="1" applyBorder="1"/>
    <xf numFmtId="164" fontId="0" fillId="0" borderId="0" xfId="0" applyNumberFormat="1" applyBorder="1"/>
    <xf numFmtId="0" fontId="0" fillId="0" borderId="0" xfId="0" applyNumberFormat="1" applyBorder="1" applyAlignment="1">
      <alignment horizontal="right"/>
    </xf>
    <xf numFmtId="0" fontId="0" fillId="0" borderId="0" xfId="0" applyFill="1" applyBorder="1"/>
    <xf numFmtId="0" fontId="0" fillId="0" borderId="4" xfId="0" applyFill="1" applyBorder="1" applyAlignment="1"/>
    <xf numFmtId="165" fontId="0" fillId="0" borderId="5" xfId="0" applyNumberFormat="1" applyBorder="1" applyAlignment="1">
      <alignment horizontal="right"/>
    </xf>
    <xf numFmtId="0" fontId="0" fillId="0" borderId="5" xfId="0" applyNumberFormat="1" applyBorder="1"/>
    <xf numFmtId="0" fontId="0" fillId="0" borderId="5" xfId="0" applyNumberFormat="1" applyBorder="1" applyAlignment="1">
      <alignment horizontal="right"/>
    </xf>
    <xf numFmtId="0" fontId="0" fillId="0" borderId="8" xfId="0" applyNumberFormat="1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6" xfId="0" applyBorder="1" applyAlignment="1">
      <alignment horizontal="right"/>
    </xf>
    <xf numFmtId="0" fontId="0" fillId="0" borderId="7" xfId="0" applyBorder="1" applyAlignment="1">
      <alignment horizontal="right"/>
    </xf>
    <xf numFmtId="0" fontId="0" fillId="0" borderId="13" xfId="0" applyBorder="1"/>
    <xf numFmtId="0" fontId="0" fillId="0" borderId="14" xfId="0" applyBorder="1"/>
    <xf numFmtId="0" fontId="0" fillId="0" borderId="15" xfId="0" applyBorder="1"/>
    <xf numFmtId="164" fontId="0" fillId="0" borderId="16" xfId="0" applyNumberFormat="1" applyBorder="1"/>
    <xf numFmtId="164" fontId="0" fillId="0" borderId="18" xfId="0" applyNumberFormat="1" applyBorder="1"/>
    <xf numFmtId="164" fontId="0" fillId="0" borderId="12" xfId="0" applyNumberFormat="1" applyBorder="1"/>
    <xf numFmtId="164" fontId="0" fillId="0" borderId="14" xfId="0" applyNumberFormat="1" applyBorder="1"/>
    <xf numFmtId="164" fontId="0" fillId="0" borderId="20" xfId="0" applyNumberFormat="1" applyFill="1" applyBorder="1"/>
    <xf numFmtId="164" fontId="0" fillId="0" borderId="19" xfId="0" applyNumberFormat="1" applyBorder="1"/>
    <xf numFmtId="0" fontId="1" fillId="2" borderId="1" xfId="0" applyFont="1" applyFill="1" applyBorder="1"/>
    <xf numFmtId="0" fontId="0" fillId="2" borderId="4" xfId="0" applyFill="1" applyBorder="1"/>
    <xf numFmtId="0" fontId="0" fillId="2" borderId="6" xfId="0" applyFill="1" applyBorder="1"/>
    <xf numFmtId="0" fontId="0" fillId="2" borderId="0" xfId="0" applyFill="1" applyBorder="1"/>
    <xf numFmtId="0" fontId="0" fillId="2" borderId="5" xfId="0" applyFill="1" applyBorder="1"/>
    <xf numFmtId="164" fontId="0" fillId="2" borderId="5" xfId="0" applyNumberFormat="1" applyFill="1" applyBorder="1"/>
    <xf numFmtId="0" fontId="0" fillId="2" borderId="8" xfId="0" applyFill="1" applyBorder="1"/>
    <xf numFmtId="0" fontId="0" fillId="2" borderId="3" xfId="0" applyFill="1" applyBorder="1"/>
    <xf numFmtId="0" fontId="0" fillId="0" borderId="17" xfId="0" applyBorder="1" applyAlignment="1">
      <alignment horizontal="right"/>
    </xf>
    <xf numFmtId="0" fontId="1" fillId="2" borderId="4" xfId="0" applyFont="1" applyFill="1" applyBorder="1"/>
    <xf numFmtId="0" fontId="0" fillId="2" borderId="5" xfId="0" applyFill="1" applyBorder="1" applyAlignment="1">
      <alignment horizontal="right"/>
    </xf>
    <xf numFmtId="164" fontId="0" fillId="2" borderId="5" xfId="0" applyNumberFormat="1" applyFill="1" applyBorder="1" applyAlignment="1">
      <alignment horizontal="right"/>
    </xf>
    <xf numFmtId="164" fontId="0" fillId="0" borderId="0" xfId="0" applyNumberFormat="1"/>
    <xf numFmtId="0" fontId="0" fillId="5" borderId="0" xfId="0" applyFill="1"/>
    <xf numFmtId="0" fontId="0" fillId="2" borderId="4" xfId="0" applyFont="1" applyFill="1" applyBorder="1"/>
    <xf numFmtId="0" fontId="1" fillId="2" borderId="6" xfId="0" applyFont="1" applyFill="1" applyBorder="1"/>
    <xf numFmtId="0" fontId="0" fillId="6" borderId="0" xfId="0" applyFill="1"/>
    <xf numFmtId="0" fontId="2" fillId="0" borderId="0" xfId="0" applyFont="1"/>
    <xf numFmtId="0" fontId="0" fillId="2" borderId="1" xfId="0" applyFill="1" applyBorder="1"/>
    <xf numFmtId="0" fontId="3" fillId="3" borderId="15" xfId="0" applyFont="1" applyFill="1" applyBorder="1"/>
    <xf numFmtId="0" fontId="1" fillId="2" borderId="21" xfId="0" applyFont="1" applyFill="1" applyBorder="1"/>
    <xf numFmtId="0" fontId="0" fillId="2" borderId="22" xfId="0" applyFill="1" applyBorder="1"/>
    <xf numFmtId="0" fontId="0" fillId="2" borderId="23" xfId="0" applyFill="1" applyBorder="1"/>
    <xf numFmtId="0" fontId="1" fillId="2" borderId="22" xfId="0" applyFont="1" applyFill="1" applyBorder="1"/>
    <xf numFmtId="164" fontId="0" fillId="2" borderId="4" xfId="0" applyNumberFormat="1" applyFill="1" applyBorder="1"/>
    <xf numFmtId="44" fontId="0" fillId="2" borderId="4" xfId="0" applyNumberFormat="1" applyFill="1" applyBorder="1"/>
    <xf numFmtId="44" fontId="0" fillId="2" borderId="5" xfId="0" applyNumberFormat="1" applyFill="1" applyBorder="1"/>
    <xf numFmtId="164" fontId="0" fillId="2" borderId="6" xfId="0" applyNumberFormat="1" applyFill="1" applyBorder="1"/>
    <xf numFmtId="1" fontId="0" fillId="2" borderId="4" xfId="0" applyNumberFormat="1" applyFill="1" applyBorder="1" applyAlignment="1">
      <alignment horizontal="right"/>
    </xf>
    <xf numFmtId="0" fontId="0" fillId="2" borderId="4" xfId="0" applyNumberFormat="1" applyFill="1" applyBorder="1" applyAlignment="1">
      <alignment horizontal="right"/>
    </xf>
    <xf numFmtId="1" fontId="0" fillId="2" borderId="4" xfId="0" applyNumberFormat="1" applyFill="1" applyBorder="1"/>
    <xf numFmtId="0" fontId="0" fillId="2" borderId="4" xfId="0" applyFill="1" applyBorder="1" applyAlignment="1">
      <alignment horizontal="right"/>
    </xf>
    <xf numFmtId="164" fontId="0" fillId="2" borderId="4" xfId="0" applyNumberFormat="1" applyFill="1" applyBorder="1" applyAlignment="1">
      <alignment horizontal="right"/>
    </xf>
    <xf numFmtId="0" fontId="0" fillId="2" borderId="4" xfId="0" applyNumberFormat="1" applyFill="1" applyBorder="1"/>
    <xf numFmtId="164" fontId="0" fillId="2" borderId="5" xfId="0" applyNumberFormat="1" applyFont="1" applyFill="1" applyBorder="1"/>
    <xf numFmtId="166" fontId="0" fillId="2" borderId="5" xfId="0" applyNumberFormat="1" applyFill="1" applyBorder="1"/>
    <xf numFmtId="164" fontId="0" fillId="2" borderId="4" xfId="0" applyNumberFormat="1" applyFont="1" applyFill="1" applyBorder="1"/>
    <xf numFmtId="164" fontId="0" fillId="2" borderId="6" xfId="0" applyNumberFormat="1" applyFill="1" applyBorder="1" applyAlignment="1">
      <alignment horizontal="right"/>
    </xf>
    <xf numFmtId="0" fontId="4" fillId="0" borderId="1" xfId="0" applyFont="1" applyBorder="1"/>
    <xf numFmtId="0" fontId="0" fillId="2" borderId="5" xfId="0" applyNumberFormat="1" applyFill="1" applyBorder="1" applyAlignment="1">
      <alignment horizontal="right"/>
    </xf>
    <xf numFmtId="0" fontId="0" fillId="2" borderId="8" xfId="0" applyFill="1" applyBorder="1" applyAlignment="1">
      <alignment horizontal="right"/>
    </xf>
    <xf numFmtId="0" fontId="1" fillId="2" borderId="2" xfId="0" applyFont="1" applyFill="1" applyBorder="1"/>
    <xf numFmtId="0" fontId="1" fillId="2" borderId="0" xfId="0" applyFont="1" applyFill="1" applyBorder="1"/>
    <xf numFmtId="0" fontId="0" fillId="2" borderId="0" xfId="0" applyFont="1" applyFill="1" applyBorder="1"/>
    <xf numFmtId="0" fontId="1" fillId="2" borderId="7" xfId="0" applyFont="1" applyFill="1" applyBorder="1"/>
    <xf numFmtId="164" fontId="0" fillId="2" borderId="4" xfId="0" applyNumberFormat="1" applyFill="1" applyBorder="1" applyAlignment="1">
      <alignment vertical="center"/>
    </xf>
    <xf numFmtId="0" fontId="0" fillId="2" borderId="2" xfId="0" applyFill="1" applyBorder="1"/>
    <xf numFmtId="0" fontId="0" fillId="2" borderId="7" xfId="0" applyFill="1" applyBorder="1"/>
    <xf numFmtId="0" fontId="6" fillId="2" borderId="22" xfId="0" applyFont="1" applyFill="1" applyBorder="1"/>
    <xf numFmtId="0" fontId="7" fillId="2" borderId="22" xfId="0" applyFont="1" applyFill="1" applyBorder="1"/>
    <xf numFmtId="0" fontId="9" fillId="0" borderId="1" xfId="0" applyFont="1" applyBorder="1"/>
    <xf numFmtId="0" fontId="9" fillId="2" borderId="11" xfId="0" applyFont="1" applyFill="1" applyBorder="1"/>
    <xf numFmtId="0" fontId="8" fillId="0" borderId="10" xfId="0" applyFont="1" applyBorder="1" applyAlignment="1">
      <alignment horizontal="center"/>
    </xf>
    <xf numFmtId="0" fontId="8" fillId="0" borderId="0" xfId="0" applyFont="1" applyBorder="1"/>
    <xf numFmtId="0" fontId="9" fillId="0" borderId="0" xfId="0" applyFont="1" applyFill="1" applyBorder="1"/>
    <xf numFmtId="164" fontId="7" fillId="7" borderId="9" xfId="0" applyNumberFormat="1" applyFont="1" applyFill="1" applyBorder="1"/>
    <xf numFmtId="0" fontId="11" fillId="7" borderId="10" xfId="0" applyFont="1" applyFill="1" applyBorder="1" applyAlignment="1">
      <alignment horizontal="center"/>
    </xf>
    <xf numFmtId="0" fontId="5" fillId="0" borderId="0" xfId="0" applyFont="1" applyBorder="1"/>
    <xf numFmtId="0" fontId="5" fillId="0" borderId="5" xfId="0" applyFont="1" applyBorder="1"/>
    <xf numFmtId="0" fontId="8" fillId="0" borderId="11" xfId="0" applyFont="1" applyBorder="1" applyAlignment="1">
      <alignment horizontal="center"/>
    </xf>
    <xf numFmtId="0" fontId="0" fillId="0" borderId="1" xfId="0" applyBorder="1"/>
    <xf numFmtId="2" fontId="0" fillId="0" borderId="5" xfId="0" applyNumberFormat="1" applyBorder="1"/>
    <xf numFmtId="0" fontId="8" fillId="0" borderId="4" xfId="0" applyFont="1" applyBorder="1"/>
    <xf numFmtId="0" fontId="8" fillId="0" borderId="5" xfId="0" applyFont="1" applyBorder="1" applyAlignment="1">
      <alignment horizontal="center"/>
    </xf>
    <xf numFmtId="0" fontId="9" fillId="0" borderId="4" xfId="0" applyFont="1" applyBorder="1"/>
    <xf numFmtId="0" fontId="8" fillId="0" borderId="1" xfId="0" applyFont="1" applyBorder="1"/>
    <xf numFmtId="0" fontId="8" fillId="0" borderId="3" xfId="0" applyFont="1" applyBorder="1"/>
    <xf numFmtId="0" fontId="8" fillId="0" borderId="5" xfId="0" applyFont="1" applyBorder="1"/>
    <xf numFmtId="0" fontId="0" fillId="8" borderId="0" xfId="0" applyFill="1"/>
    <xf numFmtId="0" fontId="12" fillId="8" borderId="0" xfId="0" applyFont="1" applyFill="1" applyBorder="1"/>
    <xf numFmtId="0" fontId="10" fillId="8" borderId="0" xfId="0" applyFont="1" applyFill="1" applyBorder="1"/>
    <xf numFmtId="0" fontId="9" fillId="6" borderId="11" xfId="0" applyFont="1" applyFill="1" applyBorder="1"/>
    <xf numFmtId="0" fontId="9" fillId="6" borderId="11" xfId="0" applyNumberFormat="1" applyFont="1" applyFill="1" applyBorder="1"/>
    <xf numFmtId="0" fontId="9" fillId="6" borderId="9" xfId="0" applyFont="1" applyFill="1" applyBorder="1"/>
    <xf numFmtId="164" fontId="9" fillId="6" borderId="9" xfId="0" applyNumberFormat="1" applyFont="1" applyFill="1" applyBorder="1"/>
    <xf numFmtId="0" fontId="1" fillId="0" borderId="4" xfId="0" applyFont="1" applyFill="1" applyBorder="1"/>
    <xf numFmtId="0" fontId="8" fillId="0" borderId="0" xfId="0" applyFont="1" applyBorder="1" applyAlignment="1">
      <alignment horizontal="right"/>
    </xf>
    <xf numFmtId="0" fontId="8" fillId="8" borderId="0" xfId="0" applyFont="1" applyFill="1" applyBorder="1"/>
    <xf numFmtId="0" fontId="1" fillId="8" borderId="0" xfId="0" applyFont="1" applyFill="1" applyBorder="1"/>
    <xf numFmtId="0" fontId="0" fillId="8" borderId="0" xfId="0" applyFill="1" applyBorder="1"/>
    <xf numFmtId="164" fontId="0" fillId="8" borderId="0" xfId="0" applyNumberFormat="1" applyFill="1" applyBorder="1"/>
    <xf numFmtId="44" fontId="0" fillId="8" borderId="0" xfId="0" applyNumberFormat="1" applyFill="1" applyBorder="1"/>
    <xf numFmtId="0" fontId="0" fillId="8" borderId="0" xfId="0" applyNumberFormat="1" applyFill="1" applyBorder="1"/>
    <xf numFmtId="164" fontId="0" fillId="8" borderId="0" xfId="0" applyNumberFormat="1" applyFill="1" applyBorder="1" applyAlignment="1">
      <alignment horizontal="right"/>
    </xf>
    <xf numFmtId="164" fontId="5" fillId="8" borderId="0" xfId="0" applyNumberFormat="1" applyFont="1" applyFill="1" applyBorder="1"/>
    <xf numFmtId="164" fontId="0" fillId="8" borderId="0" xfId="0" applyNumberFormat="1" applyFont="1" applyFill="1" applyBorder="1"/>
    <xf numFmtId="0" fontId="0" fillId="8" borderId="0" xfId="0" applyFill="1" applyBorder="1" applyAlignment="1">
      <alignment horizontal="right"/>
    </xf>
    <xf numFmtId="166" fontId="0" fillId="8" borderId="0" xfId="0" applyNumberFormat="1" applyFill="1" applyBorder="1"/>
    <xf numFmtId="0" fontId="0" fillId="8" borderId="7" xfId="0" applyFill="1" applyBorder="1"/>
    <xf numFmtId="0" fontId="13" fillId="0" borderId="0" xfId="0" applyFont="1" applyBorder="1"/>
    <xf numFmtId="0" fontId="2" fillId="6" borderId="0" xfId="0" applyFont="1" applyFill="1" applyBorder="1"/>
    <xf numFmtId="0" fontId="0" fillId="7" borderId="12" xfId="0" applyFill="1" applyBorder="1"/>
    <xf numFmtId="0" fontId="0" fillId="4" borderId="15" xfId="0" applyFill="1" applyBorder="1"/>
    <xf numFmtId="0" fontId="0" fillId="2" borderId="12" xfId="0" applyFill="1" applyBorder="1"/>
    <xf numFmtId="0" fontId="6" fillId="8" borderId="0" xfId="0" applyFont="1" applyFill="1" applyBorder="1"/>
    <xf numFmtId="164" fontId="6" fillId="2" borderId="4" xfId="0" applyNumberFormat="1" applyFont="1" applyFill="1" applyBorder="1" applyAlignment="1">
      <alignment horizontal="right"/>
    </xf>
    <xf numFmtId="164" fontId="6" fillId="2" borderId="5" xfId="0" applyNumberFormat="1" applyFont="1" applyFill="1" applyBorder="1" applyAlignment="1">
      <alignment horizontal="right"/>
    </xf>
    <xf numFmtId="164" fontId="6" fillId="8" borderId="0" xfId="0" applyNumberFormat="1" applyFont="1" applyFill="1" applyBorder="1" applyAlignment="1">
      <alignment horizontal="right"/>
    </xf>
    <xf numFmtId="0" fontId="6" fillId="2" borderId="5" xfId="0" applyFont="1" applyFill="1" applyBorder="1" applyAlignment="1">
      <alignment horizontal="right"/>
    </xf>
    <xf numFmtId="0" fontId="14" fillId="2" borderId="23" xfId="0" applyFont="1" applyFill="1" applyBorder="1"/>
    <xf numFmtId="0" fontId="14" fillId="8" borderId="0" xfId="0" applyFont="1" applyFill="1" applyBorder="1"/>
    <xf numFmtId="164" fontId="14" fillId="2" borderId="6" xfId="0" applyNumberFormat="1" applyFont="1" applyFill="1" applyBorder="1"/>
    <xf numFmtId="164" fontId="6" fillId="2" borderId="8" xfId="0" applyNumberFormat="1" applyFont="1" applyFill="1" applyBorder="1" applyAlignment="1">
      <alignment horizontal="right"/>
    </xf>
    <xf numFmtId="164" fontId="6" fillId="8" borderId="0" xfId="0" applyNumberFormat="1" applyFont="1" applyFill="1" applyBorder="1"/>
    <xf numFmtId="0" fontId="6" fillId="2" borderId="8" xfId="0" applyFont="1" applyFill="1" applyBorder="1" applyAlignment="1">
      <alignment horizontal="right"/>
    </xf>
    <xf numFmtId="0" fontId="7" fillId="2" borderId="1" xfId="0" applyFont="1" applyFill="1" applyBorder="1"/>
    <xf numFmtId="0" fontId="0" fillId="9" borderId="4" xfId="0" applyFill="1" applyBorder="1"/>
    <xf numFmtId="0" fontId="1" fillId="9" borderId="0" xfId="0" applyFont="1" applyFill="1" applyBorder="1"/>
    <xf numFmtId="0" fontId="0" fillId="9" borderId="0" xfId="0" applyFill="1" applyBorder="1"/>
    <xf numFmtId="0" fontId="0" fillId="9" borderId="5" xfId="0" applyFill="1" applyBorder="1"/>
    <xf numFmtId="0" fontId="0" fillId="9" borderId="0" xfId="0" applyFill="1"/>
    <xf numFmtId="0" fontId="1" fillId="2" borderId="11" xfId="0" applyFont="1" applyFill="1" applyBorder="1"/>
    <xf numFmtId="2" fontId="0" fillId="3" borderId="21" xfId="0" applyNumberFormat="1" applyFill="1" applyBorder="1"/>
    <xf numFmtId="2" fontId="0" fillId="3" borderId="22" xfId="0" applyNumberFormat="1" applyFill="1" applyBorder="1"/>
    <xf numFmtId="0" fontId="0" fillId="3" borderId="22" xfId="0" applyFill="1" applyBorder="1"/>
    <xf numFmtId="0" fontId="0" fillId="3" borderId="22" xfId="0" applyFill="1" applyBorder="1" applyProtection="1"/>
    <xf numFmtId="0" fontId="0" fillId="3" borderId="22" xfId="0" applyFill="1" applyBorder="1" applyAlignment="1" applyProtection="1">
      <alignment horizontal="right"/>
    </xf>
    <xf numFmtId="0" fontId="0" fillId="3" borderId="23" xfId="0" applyFill="1" applyBorder="1"/>
    <xf numFmtId="0" fontId="0" fillId="3" borderId="21" xfId="0" applyFill="1" applyBorder="1"/>
    <xf numFmtId="0" fontId="0" fillId="3" borderId="9" xfId="0" applyNumberFormat="1" applyFill="1" applyBorder="1" applyAlignment="1">
      <alignment horizontal="right"/>
    </xf>
    <xf numFmtId="0" fontId="0" fillId="3" borderId="10" xfId="0" applyFill="1" applyBorder="1" applyAlignment="1">
      <alignment horizontal="right"/>
    </xf>
    <xf numFmtId="0" fontId="0" fillId="3" borderId="12" xfId="0" applyFill="1" applyBorder="1"/>
    <xf numFmtId="164" fontId="0" fillId="0" borderId="20" xfId="0" applyNumberFormat="1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0" borderId="29" xfId="0" applyBorder="1"/>
    <xf numFmtId="164" fontId="0" fillId="3" borderId="9" xfId="0" applyNumberFormat="1" applyFill="1" applyBorder="1"/>
    <xf numFmtId="44" fontId="0" fillId="3" borderId="10" xfId="0" applyNumberFormat="1" applyFill="1" applyBorder="1"/>
    <xf numFmtId="164" fontId="0" fillId="3" borderId="10" xfId="0" applyNumberFormat="1" applyFill="1" applyBorder="1"/>
    <xf numFmtId="0" fontId="0" fillId="3" borderId="10" xfId="0" applyFill="1" applyBorder="1"/>
  </cellXfs>
  <cellStyles count="1">
    <cellStyle name="Normal" xfId="0" builtinId="0"/>
  </cellStyles>
  <dxfs count="7"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CAE6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6/relationships/vbaProject" Target="vbaProject.bin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l-NL"/>
              <a:t>Kosten</a:t>
            </a:r>
            <a:r>
              <a:rPr lang="nl-NL" baseline="0"/>
              <a:t> voertuigen</a:t>
            </a:r>
            <a:endParaRPr lang="nl-NL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55863296215502"/>
          <c:y val="9.9330530627260466E-2"/>
          <c:w val="0.87990361838890796"/>
          <c:h val="0.78916758909749907"/>
        </c:manualLayout>
      </c:layout>
      <c:barChart>
        <c:barDir val="col"/>
        <c:grouping val="stacked"/>
        <c:varyColors val="0"/>
        <c:ser>
          <c:idx val="0"/>
          <c:order val="0"/>
          <c:tx>
            <c:v>Vaste kosten</c:v>
          </c:tx>
          <c:invertIfNegative val="0"/>
          <c:cat>
            <c:strRef>
              <c:f>'Test afmetingen en gewicht'!$B$39:$B$44</c:f>
              <c:strCache>
                <c:ptCount val="6"/>
                <c:pt idx="0">
                  <c:v>Urban Arrow Cargo</c:v>
                </c:pt>
                <c:pt idx="1">
                  <c:v>Stint</c:v>
                </c:pt>
                <c:pt idx="2">
                  <c:v>Goupil</c:v>
                </c:pt>
                <c:pt idx="3">
                  <c:v>Goupil Reefer Van</c:v>
                </c:pt>
                <c:pt idx="4">
                  <c:v>Nissan e-NV200</c:v>
                </c:pt>
                <c:pt idx="5">
                  <c:v>Opel Vivaro 2700</c:v>
                </c:pt>
              </c:strCache>
            </c:strRef>
          </c:cat>
          <c:val>
            <c:numRef>
              <c:f>'Test afmetingen en gewicht'!$F$45:$K$45</c:f>
              <c:numCache>
                <c:formatCode>"€"\ #,##0.00</c:formatCode>
                <c:ptCount val="6"/>
                <c:pt idx="0">
                  <c:v>2245</c:v>
                </c:pt>
                <c:pt idx="1">
                  <c:v>3200</c:v>
                </c:pt>
                <c:pt idx="2">
                  <c:v>7328.16</c:v>
                </c:pt>
                <c:pt idx="3">
                  <c:v>7953.16</c:v>
                </c:pt>
                <c:pt idx="4">
                  <c:v>9384.2000000000007</c:v>
                </c:pt>
                <c:pt idx="5">
                  <c:v>6595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2D-4B56-A91B-4934B2B00157}"/>
            </c:ext>
          </c:extLst>
        </c:ser>
        <c:ser>
          <c:idx val="1"/>
          <c:order val="1"/>
          <c:tx>
            <c:v>Variabele kosten</c:v>
          </c:tx>
          <c:invertIfNegative val="0"/>
          <c:cat>
            <c:strRef>
              <c:f>'Test afmetingen en gewicht'!$B$39:$B$44</c:f>
              <c:strCache>
                <c:ptCount val="6"/>
                <c:pt idx="0">
                  <c:v>Urban Arrow Cargo</c:v>
                </c:pt>
                <c:pt idx="1">
                  <c:v>Stint</c:v>
                </c:pt>
                <c:pt idx="2">
                  <c:v>Goupil</c:v>
                </c:pt>
                <c:pt idx="3">
                  <c:v>Goupil Reefer Van</c:v>
                </c:pt>
                <c:pt idx="4">
                  <c:v>Nissan e-NV200</c:v>
                </c:pt>
                <c:pt idx="5">
                  <c:v>Opel Vivaro 2700</c:v>
                </c:pt>
              </c:strCache>
            </c:strRef>
          </c:cat>
          <c:val>
            <c:numRef>
              <c:f>'Test afmetingen en gewicht'!$F$46:$K$46</c:f>
              <c:numCache>
                <c:formatCode>"€"\ #,##0.00</c:formatCode>
                <c:ptCount val="6"/>
                <c:pt idx="0">
                  <c:v>14436</c:v>
                </c:pt>
                <c:pt idx="1">
                  <c:v>7218</c:v>
                </c:pt>
                <c:pt idx="2">
                  <c:v>9468</c:v>
                </c:pt>
                <c:pt idx="3">
                  <c:v>9468</c:v>
                </c:pt>
                <c:pt idx="4">
                  <c:v>9468</c:v>
                </c:pt>
                <c:pt idx="5">
                  <c:v>10326.621328767122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2D-4B56-A91B-4934B2B00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242867568"/>
        <c:axId val="242867960"/>
      </c:barChart>
      <c:catAx>
        <c:axId val="242867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42867960"/>
        <c:crosses val="autoZero"/>
        <c:auto val="1"/>
        <c:lblAlgn val="ctr"/>
        <c:lblOffset val="100"/>
        <c:noMultiLvlLbl val="0"/>
      </c:catAx>
      <c:valAx>
        <c:axId val="242867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Kosten</a:t>
                </a:r>
                <a:r>
                  <a:rPr lang="nl-NL" baseline="0"/>
                  <a:t> per voertuig per jaar</a:t>
                </a:r>
                <a:endParaRPr lang="nl-NL"/>
              </a:p>
            </c:rich>
          </c:tx>
          <c:overlay val="0"/>
        </c:title>
        <c:numFmt formatCode="&quot;€&quot;\ #,##0.00" sourceLinked="1"/>
        <c:majorTickMark val="none"/>
        <c:minorTickMark val="none"/>
        <c:tickLblPos val="nextTo"/>
        <c:crossAx val="242867568"/>
        <c:crosses val="autoZero"/>
        <c:crossBetween val="between"/>
      </c:valAx>
      <c:dTable>
        <c:showHorzBorder val="0"/>
        <c:showVertBorder val="0"/>
        <c:showOutline val="0"/>
        <c:showKeys val="1"/>
      </c:dTable>
    </c:plotArea>
    <c:plotVisOnly val="1"/>
    <c:dispBlanksAs val="gap"/>
    <c:showDLblsOverMax val="0"/>
  </c:chart>
  <c:printSettings>
    <c:headerFooter/>
    <c:pageMargins b="0.75000000000000078" l="0.70000000000000062" r="0.70000000000000062" t="0.75000000000000078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microsoft.com/office/2007/relationships/hdphoto" Target="../media/hdphoto1.wdp"/><Relationship Id="rId1" Type="http://schemas.openxmlformats.org/officeDocument/2006/relationships/image" Target="../media/image2.png"/><Relationship Id="rId6" Type="http://schemas.microsoft.com/office/2007/relationships/hdphoto" Target="../media/hdphoto3.wdp"/><Relationship Id="rId11" Type="http://schemas.microsoft.com/office/2007/relationships/hdphoto" Target="../media/hdphoto5.wdp"/><Relationship Id="rId5" Type="http://schemas.openxmlformats.org/officeDocument/2006/relationships/image" Target="../media/image4.png"/><Relationship Id="rId10" Type="http://schemas.openxmlformats.org/officeDocument/2006/relationships/image" Target="../media/image7.png"/><Relationship Id="rId4" Type="http://schemas.microsoft.com/office/2007/relationships/hdphoto" Target="../media/hdphoto2.wdp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tiff"/><Relationship Id="rId3" Type="http://schemas.openxmlformats.org/officeDocument/2006/relationships/image" Target="../media/image9.tiff"/><Relationship Id="rId7" Type="http://schemas.openxmlformats.org/officeDocument/2006/relationships/image" Target="../media/image13.tiff"/><Relationship Id="rId2" Type="http://schemas.openxmlformats.org/officeDocument/2006/relationships/image" Target="../media/image8.tiff"/><Relationship Id="rId1" Type="http://schemas.openxmlformats.org/officeDocument/2006/relationships/chart" Target="../charts/chart1.xml"/><Relationship Id="rId6" Type="http://schemas.openxmlformats.org/officeDocument/2006/relationships/image" Target="../media/image12.tiff"/><Relationship Id="rId5" Type="http://schemas.openxmlformats.org/officeDocument/2006/relationships/image" Target="../media/image11.tiff"/><Relationship Id="rId10" Type="http://schemas.openxmlformats.org/officeDocument/2006/relationships/image" Target="../media/image16.tiff"/><Relationship Id="rId4" Type="http://schemas.openxmlformats.org/officeDocument/2006/relationships/image" Target="../media/image10.tiff"/><Relationship Id="rId9" Type="http://schemas.openxmlformats.org/officeDocument/2006/relationships/image" Target="../media/image15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138206</xdr:colOff>
      <xdr:row>9</xdr:row>
      <xdr:rowOff>134469</xdr:rowOff>
    </xdr:from>
    <xdr:to>
      <xdr:col>5</xdr:col>
      <xdr:colOff>452749</xdr:colOff>
      <xdr:row>18</xdr:row>
      <xdr:rowOff>59762</xdr:rowOff>
    </xdr:to>
    <xdr:pic>
      <xdr:nvPicPr>
        <xdr:cNvPr id="2" name="Afbeelding 1" descr="Urban arrow cargo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537" b="95095" l="6458" r="92564">
                      <a14:foregroundMark x1="6458" y1="64305" x2="6458" y2="64305"/>
                      <a14:foregroundMark x1="92564" y1="79019" x2="92564" y2="79019"/>
                      <a14:foregroundMark x1="19765" y1="33515" x2="19765" y2="33515"/>
                      <a14:foregroundMark x1="30333" y1="22888" x2="30333" y2="22888"/>
                      <a14:foregroundMark x1="41683" y1="19891" x2="41683" y2="19891"/>
                      <a14:foregroundMark x1="34051" y1="25613" x2="34051" y2="25613"/>
                      <a14:foregroundMark x1="85127" y1="95095" x2="85127" y2="95095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93030" y="1777998"/>
          <a:ext cx="2529233" cy="1673411"/>
        </a:xfrm>
        <a:prstGeom prst="rect">
          <a:avLst/>
        </a:prstGeom>
      </xdr:spPr>
    </xdr:pic>
    <xdr:clientData/>
  </xdr:twoCellAnchor>
  <xdr:twoCellAnchor editAs="oneCell">
    <xdr:from>
      <xdr:col>10</xdr:col>
      <xdr:colOff>455278</xdr:colOff>
      <xdr:row>10</xdr:row>
      <xdr:rowOff>87792</xdr:rowOff>
    </xdr:from>
    <xdr:to>
      <xdr:col>11</xdr:col>
      <xdr:colOff>209853</xdr:colOff>
      <xdr:row>17</xdr:row>
      <xdr:rowOff>79646</xdr:rowOff>
    </xdr:to>
    <xdr:pic>
      <xdr:nvPicPr>
        <xdr:cNvPr id="5" name="Afbeelding 4" descr="Goupil G5 Box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>
                      <a14:foregroundMark x1="16857" y1="41343" x2="16857" y2="41343"/>
                      <a14:foregroundMark x1="26286" y1="38869" x2="26286" y2="38869"/>
                      <a14:foregroundMark x1="18000" y1="27562" x2="18000" y2="27562"/>
                      <a14:foregroundMark x1="46286" y1="52297" x2="46286" y2="52297"/>
                      <a14:foregroundMark x1="40571" y1="49117" x2="40571" y2="49117"/>
                      <a14:foregroundMark x1="20857" y1="16608" x2="20857" y2="16608"/>
                      <a14:foregroundMark x1="69429" y1="85866" x2="69429" y2="85866"/>
                      <a14:foregroundMark x1="24286" y1="71731" x2="24286" y2="71731"/>
                      <a14:backgroundMark x1="14000" y1="16608" x2="14000" y2="16608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886337" y="1925557"/>
          <a:ext cx="1830720" cy="1351501"/>
        </a:xfrm>
        <a:prstGeom prst="rect">
          <a:avLst/>
        </a:prstGeom>
      </xdr:spPr>
    </xdr:pic>
    <xdr:clientData/>
  </xdr:twoCellAnchor>
  <xdr:twoCellAnchor>
    <xdr:from>
      <xdr:col>1</xdr:col>
      <xdr:colOff>194236</xdr:colOff>
      <xdr:row>9</xdr:row>
      <xdr:rowOff>119529</xdr:rowOff>
    </xdr:from>
    <xdr:to>
      <xdr:col>3</xdr:col>
      <xdr:colOff>89647</xdr:colOff>
      <xdr:row>15</xdr:row>
      <xdr:rowOff>1</xdr:rowOff>
    </xdr:to>
    <xdr:sp macro="[0]!Grafiek" textlink="">
      <xdr:nvSpPr>
        <xdr:cNvPr id="4" name="Afgeronde rechthoe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94236" y="1718235"/>
          <a:ext cx="3077882" cy="1045884"/>
        </a:xfrm>
        <a:prstGeom prst="roundRect">
          <a:avLst>
            <a:gd name="adj" fmla="val 50000"/>
          </a:avLst>
        </a:prstGeom>
        <a:solidFill>
          <a:srgbClr val="FFC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Klik hier voor de grafiek  met kosten per voertuig</a:t>
          </a:r>
        </a:p>
        <a:p>
          <a:pPr algn="l"/>
          <a:endParaRPr lang="nl-NL" sz="1600"/>
        </a:p>
      </xdr:txBody>
    </xdr:sp>
    <xdr:clientData/>
  </xdr:twoCellAnchor>
  <xdr:twoCellAnchor editAs="oneCell">
    <xdr:from>
      <xdr:col>4</xdr:col>
      <xdr:colOff>403412</xdr:colOff>
      <xdr:row>27</xdr:row>
      <xdr:rowOff>26347</xdr:rowOff>
    </xdr:from>
    <xdr:to>
      <xdr:col>5</xdr:col>
      <xdr:colOff>160958</xdr:colOff>
      <xdr:row>32</xdr:row>
      <xdr:rowOff>191704</xdr:rowOff>
    </xdr:to>
    <xdr:pic>
      <xdr:nvPicPr>
        <xdr:cNvPr id="11" name="Afbeelding 10" descr="Goupil G5 Reefer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9901" b="89769" l="3218" r="93069">
                      <a14:foregroundMark x1="5941" y1="31023" x2="5941" y2="31023"/>
                      <a14:foregroundMark x1="93069" y1="60066" x2="93069" y2="60066"/>
                      <a14:foregroundMark x1="69307" y1="22442" x2="69307" y2="22442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258236" y="5644229"/>
          <a:ext cx="1972236" cy="1360651"/>
        </a:xfrm>
        <a:prstGeom prst="rect">
          <a:avLst/>
        </a:prstGeom>
      </xdr:spPr>
    </xdr:pic>
    <xdr:clientData/>
  </xdr:twoCellAnchor>
  <xdr:twoCellAnchor editAs="oneCell">
    <xdr:from>
      <xdr:col>7</xdr:col>
      <xdr:colOff>268228</xdr:colOff>
      <xdr:row>26</xdr:row>
      <xdr:rowOff>174894</xdr:rowOff>
    </xdr:from>
    <xdr:to>
      <xdr:col>8</xdr:col>
      <xdr:colOff>665222</xdr:colOff>
      <xdr:row>32</xdr:row>
      <xdr:rowOff>149208</xdr:rowOff>
    </xdr:to>
    <xdr:pic>
      <xdr:nvPicPr>
        <xdr:cNvPr id="12" name="Afbeelding 11" descr="Nissan e-NV 200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500816" y="5538776"/>
          <a:ext cx="2421185" cy="1423608"/>
        </a:xfrm>
        <a:prstGeom prst="rect">
          <a:avLst/>
        </a:prstGeom>
      </xdr:spPr>
    </xdr:pic>
    <xdr:clientData/>
  </xdr:twoCellAnchor>
  <xdr:twoCellAnchor editAs="oneCell">
    <xdr:from>
      <xdr:col>10</xdr:col>
      <xdr:colOff>118320</xdr:colOff>
      <xdr:row>27</xdr:row>
      <xdr:rowOff>89648</xdr:rowOff>
    </xdr:from>
    <xdr:to>
      <xdr:col>11</xdr:col>
      <xdr:colOff>550724</xdr:colOff>
      <xdr:row>32</xdr:row>
      <xdr:rowOff>193796</xdr:rowOff>
    </xdr:to>
    <xdr:pic>
      <xdr:nvPicPr>
        <xdr:cNvPr id="13" name="Afbeelding 12" descr="Opel Vivaro 2700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10000" b="90000" l="10000" r="90000">
                      <a14:foregroundMark x1="49850" y1="42931" x2="49850" y2="42931"/>
                      <a14:foregroundMark x1="66617" y1="52442" x2="66617" y2="52442"/>
                      <a14:foregroundMark x1="62874" y1="56555" x2="62874" y2="56555"/>
                      <a14:foregroundMark x1="80240" y1="42159" x2="80240" y2="42159"/>
                      <a14:foregroundMark x1="72156" y1="42159" x2="72156" y2="42159"/>
                      <a14:foregroundMark x1="80988" y1="46787" x2="80988" y2="46787"/>
                      <a14:foregroundMark x1="81437" y1="70951" x2="81437" y2="70951"/>
                      <a14:foregroundMark x1="64521" y1="18766" x2="64521" y2="18766"/>
                      <a14:foregroundMark x1="77695" y1="35733" x2="77695" y2="35733"/>
                      <a14:foregroundMark x1="75599" y1="44473" x2="75599" y2="44473"/>
                      <a14:foregroundMark x1="64970" y1="38046" x2="64970" y2="38046"/>
                      <a14:foregroundMark x1="69162" y1="24422" x2="69162" y2="24422"/>
                      <a14:foregroundMark x1="85329" y1="48586" x2="85329" y2="48586"/>
                      <a14:foregroundMark x1="86078" y1="53985" x2="86078" y2="53985"/>
                      <a14:foregroundMark x1="84431" y1="41388" x2="84431" y2="41388"/>
                      <a14:foregroundMark x1="75150" y1="86118" x2="75150" y2="86118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549379" y="5707530"/>
          <a:ext cx="2508549" cy="1299442"/>
        </a:xfrm>
        <a:prstGeom prst="rect">
          <a:avLst/>
        </a:prstGeom>
      </xdr:spPr>
    </xdr:pic>
    <xdr:clientData/>
  </xdr:twoCellAnchor>
  <xdr:twoCellAnchor>
    <xdr:from>
      <xdr:col>1</xdr:col>
      <xdr:colOff>224119</xdr:colOff>
      <xdr:row>2</xdr:row>
      <xdr:rowOff>134470</xdr:rowOff>
    </xdr:from>
    <xdr:to>
      <xdr:col>3</xdr:col>
      <xdr:colOff>89647</xdr:colOff>
      <xdr:row>8</xdr:row>
      <xdr:rowOff>14940</xdr:rowOff>
    </xdr:to>
    <xdr:sp macro="[0]!gegevens" textlink="">
      <xdr:nvSpPr>
        <xdr:cNvPr id="14" name="Afgeronde rechthoek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224119" y="343646"/>
          <a:ext cx="3047999" cy="1075765"/>
        </a:xfrm>
        <a:prstGeom prst="roundRect">
          <a:avLst>
            <a:gd name="adj" fmla="val 50000"/>
          </a:avLst>
        </a:prstGeom>
        <a:solidFill>
          <a:srgbClr val="FFC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Klik als eerst hier om gegevens in te vullen</a:t>
          </a:r>
        </a:p>
        <a:p>
          <a:pPr algn="l"/>
          <a:endParaRPr lang="nl-NL" sz="1600"/>
        </a:p>
      </xdr:txBody>
    </xdr:sp>
    <xdr:clientData/>
  </xdr:twoCellAnchor>
  <xdr:twoCellAnchor>
    <xdr:from>
      <xdr:col>10</xdr:col>
      <xdr:colOff>1</xdr:colOff>
      <xdr:row>5</xdr:row>
      <xdr:rowOff>164353</xdr:rowOff>
    </xdr:from>
    <xdr:to>
      <xdr:col>11</xdr:col>
      <xdr:colOff>14941</xdr:colOff>
      <xdr:row>6</xdr:row>
      <xdr:rowOff>194236</xdr:rowOff>
    </xdr:to>
    <xdr:sp macro="" textlink="">
      <xdr:nvSpPr>
        <xdr:cNvPr id="15" name="Afgeronde rechthoek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 flipV="1">
          <a:off x="12655177" y="1180353"/>
          <a:ext cx="1987176" cy="224118"/>
        </a:xfrm>
        <a:prstGeom prst="roundRect">
          <a:avLst>
            <a:gd name="adj" fmla="val 50000"/>
          </a:avLst>
        </a:prstGeom>
        <a:solidFill>
          <a:srgbClr val="FFC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 </a:t>
          </a:r>
        </a:p>
        <a:p>
          <a:pPr algn="l"/>
          <a:endParaRPr lang="nl-NL" sz="1600"/>
        </a:p>
      </xdr:txBody>
    </xdr:sp>
    <xdr:clientData/>
  </xdr:twoCellAnchor>
  <xdr:twoCellAnchor editAs="oneCell">
    <xdr:from>
      <xdr:col>7</xdr:col>
      <xdr:colOff>60548</xdr:colOff>
      <xdr:row>10</xdr:row>
      <xdr:rowOff>23027</xdr:rowOff>
    </xdr:from>
    <xdr:to>
      <xdr:col>8</xdr:col>
      <xdr:colOff>720080</xdr:colOff>
      <xdr:row>18</xdr:row>
      <xdr:rowOff>91109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1026" b="99487" l="10000" r="90000">
                      <a14:foregroundMark x1="16167" y1="6667" x2="68833" y2="6667"/>
                      <a14:foregroundMark x1="14167" y1="7179" x2="14167" y2="717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6200" y="2035701"/>
          <a:ext cx="2443305" cy="15920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12700</xdr:colOff>
      <xdr:row>4</xdr:row>
      <xdr:rowOff>63500</xdr:rowOff>
    </xdr:from>
    <xdr:to>
      <xdr:col>9</xdr:col>
      <xdr:colOff>266700</xdr:colOff>
      <xdr:row>9</xdr:row>
      <xdr:rowOff>96369</xdr:rowOff>
    </xdr:to>
    <xdr:sp macro="[0]!uitrekenen" textlink="">
      <xdr:nvSpPr>
        <xdr:cNvPr id="2" name="Afgeronde rechthoe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5600700" y="647700"/>
          <a:ext cx="2705100" cy="1048869"/>
        </a:xfrm>
        <a:prstGeom prst="roundRect">
          <a:avLst>
            <a:gd name="adj" fmla="val 50000"/>
          </a:avLst>
        </a:prstGeom>
        <a:solidFill>
          <a:srgbClr val="FFC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Klik hier als alles is ingevuld en</a:t>
          </a:r>
          <a:r>
            <a:rPr lang="nl-NL" sz="1800" b="1" baseline="0">
              <a:solidFill>
                <a:schemeClr val="tx1"/>
              </a:solidFill>
            </a:rPr>
            <a:t> r</a:t>
          </a:r>
          <a:r>
            <a:rPr lang="nl-NL" sz="1800" b="1">
              <a:solidFill>
                <a:schemeClr val="tx1"/>
              </a:solidFill>
            </a:rPr>
            <a:t>eken uit!</a:t>
          </a:r>
        </a:p>
        <a:p>
          <a:pPr algn="l"/>
          <a:endParaRPr lang="nl-NL" sz="16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277716</xdr:colOff>
      <xdr:row>1</xdr:row>
      <xdr:rowOff>134471</xdr:rowOff>
    </xdr:from>
    <xdr:to>
      <xdr:col>20</xdr:col>
      <xdr:colOff>224116</xdr:colOff>
      <xdr:row>33</xdr:row>
      <xdr:rowOff>98613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479363</xdr:colOff>
      <xdr:row>3</xdr:row>
      <xdr:rowOff>14940</xdr:rowOff>
    </xdr:from>
    <xdr:to>
      <xdr:col>25</xdr:col>
      <xdr:colOff>597647</xdr:colOff>
      <xdr:row>7</xdr:row>
      <xdr:rowOff>183042</xdr:rowOff>
    </xdr:to>
    <xdr:sp macro="[0]!hoofdwerkblad" textlink="">
      <xdr:nvSpPr>
        <xdr:cNvPr id="3" name="Afgeronde rechthoek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6496304" y="403411"/>
          <a:ext cx="2807696" cy="945043"/>
        </a:xfrm>
        <a:prstGeom prst="roundRect">
          <a:avLst>
            <a:gd name="adj" fmla="val 50000"/>
          </a:avLst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Terug </a:t>
          </a:r>
          <a:endParaRPr lang="nl-NL" sz="1600"/>
        </a:p>
      </xdr:txBody>
    </xdr:sp>
    <xdr:clientData/>
  </xdr:twoCellAnchor>
  <xdr:twoCellAnchor editAs="oneCell">
    <xdr:from>
      <xdr:col>3</xdr:col>
      <xdr:colOff>568161</xdr:colOff>
      <xdr:row>36</xdr:row>
      <xdr:rowOff>50800</xdr:rowOff>
    </xdr:from>
    <xdr:to>
      <xdr:col>4</xdr:col>
      <xdr:colOff>403808</xdr:colOff>
      <xdr:row>37</xdr:row>
      <xdr:rowOff>12700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06536" y="7075488"/>
          <a:ext cx="430960" cy="461962"/>
        </a:xfrm>
        <a:prstGeom prst="rect">
          <a:avLst/>
        </a:prstGeom>
      </xdr:spPr>
    </xdr:pic>
    <xdr:clientData/>
  </xdr:twoCellAnchor>
  <xdr:twoCellAnchor editAs="oneCell">
    <xdr:from>
      <xdr:col>6</xdr:col>
      <xdr:colOff>584106</xdr:colOff>
      <xdr:row>36</xdr:row>
      <xdr:rowOff>65741</xdr:rowOff>
    </xdr:from>
    <xdr:to>
      <xdr:col>7</xdr:col>
      <xdr:colOff>447581</xdr:colOff>
      <xdr:row>37</xdr:row>
      <xdr:rowOff>27641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560794" y="7090429"/>
          <a:ext cx="458787" cy="461962"/>
        </a:xfrm>
        <a:prstGeom prst="rect">
          <a:avLst/>
        </a:prstGeom>
      </xdr:spPr>
    </xdr:pic>
    <xdr:clientData/>
  </xdr:twoCellAnchor>
  <xdr:twoCellAnchor editAs="oneCell">
    <xdr:from>
      <xdr:col>3</xdr:col>
      <xdr:colOff>563399</xdr:colOff>
      <xdr:row>37</xdr:row>
      <xdr:rowOff>94456</xdr:rowOff>
    </xdr:from>
    <xdr:to>
      <xdr:col>4</xdr:col>
      <xdr:colOff>408571</xdr:colOff>
      <xdr:row>38</xdr:row>
      <xdr:rowOff>56356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01774" y="7619206"/>
          <a:ext cx="440485" cy="461963"/>
        </a:xfrm>
        <a:prstGeom prst="rect">
          <a:avLst/>
        </a:prstGeom>
      </xdr:spPr>
    </xdr:pic>
    <xdr:clientData/>
  </xdr:twoCellAnchor>
  <xdr:twoCellAnchor editAs="oneCell">
    <xdr:from>
      <xdr:col>6</xdr:col>
      <xdr:colOff>579343</xdr:colOff>
      <xdr:row>37</xdr:row>
      <xdr:rowOff>98284</xdr:rowOff>
    </xdr:from>
    <xdr:to>
      <xdr:col>7</xdr:col>
      <xdr:colOff>452343</xdr:colOff>
      <xdr:row>38</xdr:row>
      <xdr:rowOff>60184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556031" y="7623034"/>
          <a:ext cx="468312" cy="461963"/>
        </a:xfrm>
        <a:prstGeom prst="rect">
          <a:avLst/>
        </a:prstGeom>
      </xdr:spPr>
    </xdr:pic>
    <xdr:clientData/>
  </xdr:twoCellAnchor>
  <xdr:twoCellAnchor editAs="oneCell">
    <xdr:from>
      <xdr:col>9</xdr:col>
      <xdr:colOff>829505</xdr:colOff>
      <xdr:row>36</xdr:row>
      <xdr:rowOff>150094</xdr:rowOff>
    </xdr:from>
    <xdr:to>
      <xdr:col>9</xdr:col>
      <xdr:colOff>996119</xdr:colOff>
      <xdr:row>37</xdr:row>
      <xdr:rowOff>234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592130" y="7174782"/>
          <a:ext cx="166614" cy="350202"/>
        </a:xfrm>
        <a:prstGeom prst="rect">
          <a:avLst/>
        </a:prstGeom>
      </xdr:spPr>
    </xdr:pic>
    <xdr:clientData/>
  </xdr:twoCellAnchor>
  <xdr:twoCellAnchor editAs="oneCell">
    <xdr:from>
      <xdr:col>12</xdr:col>
      <xdr:colOff>185634</xdr:colOff>
      <xdr:row>36</xdr:row>
      <xdr:rowOff>138981</xdr:rowOff>
    </xdr:from>
    <xdr:to>
      <xdr:col>12</xdr:col>
      <xdr:colOff>433117</xdr:colOff>
      <xdr:row>36</xdr:row>
      <xdr:rowOff>489183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377134" y="7163669"/>
          <a:ext cx="247483" cy="350202"/>
        </a:xfrm>
        <a:prstGeom prst="rect">
          <a:avLst/>
        </a:prstGeom>
      </xdr:spPr>
    </xdr:pic>
    <xdr:clientData/>
  </xdr:twoCellAnchor>
  <xdr:twoCellAnchor editAs="oneCell">
    <xdr:from>
      <xdr:col>15</xdr:col>
      <xdr:colOff>58914</xdr:colOff>
      <xdr:row>36</xdr:row>
      <xdr:rowOff>112931</xdr:rowOff>
    </xdr:from>
    <xdr:to>
      <xdr:col>15</xdr:col>
      <xdr:colOff>363547</xdr:colOff>
      <xdr:row>36</xdr:row>
      <xdr:rowOff>463133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191133" y="7137619"/>
          <a:ext cx="304633" cy="350202"/>
        </a:xfrm>
        <a:prstGeom prst="rect">
          <a:avLst/>
        </a:prstGeom>
      </xdr:spPr>
    </xdr:pic>
    <xdr:clientData/>
  </xdr:twoCellAnchor>
  <xdr:twoCellAnchor editAs="oneCell">
    <xdr:from>
      <xdr:col>18</xdr:col>
      <xdr:colOff>219765</xdr:colOff>
      <xdr:row>36</xdr:row>
      <xdr:rowOff>76977</xdr:rowOff>
    </xdr:from>
    <xdr:to>
      <xdr:col>19</xdr:col>
      <xdr:colOff>70747</xdr:colOff>
      <xdr:row>36</xdr:row>
      <xdr:rowOff>427179</xdr:rowOff>
    </xdr:to>
    <xdr:pic>
      <xdr:nvPicPr>
        <xdr:cNvPr id="12" name="Afbeelding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2066484" y="7101665"/>
          <a:ext cx="255794" cy="350202"/>
        </a:xfrm>
        <a:prstGeom prst="rect">
          <a:avLst/>
        </a:prstGeom>
      </xdr:spPr>
    </xdr:pic>
    <xdr:clientData/>
  </xdr:twoCellAnchor>
  <xdr:twoCellAnchor editAs="oneCell">
    <xdr:from>
      <xdr:col>12</xdr:col>
      <xdr:colOff>110051</xdr:colOff>
      <xdr:row>37</xdr:row>
      <xdr:rowOff>82364</xdr:rowOff>
    </xdr:from>
    <xdr:to>
      <xdr:col>13</xdr:col>
      <xdr:colOff>56262</xdr:colOff>
      <xdr:row>38</xdr:row>
      <xdr:rowOff>44264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301551" y="7607114"/>
          <a:ext cx="398649" cy="461963"/>
        </a:xfrm>
        <a:prstGeom prst="rect">
          <a:avLst/>
        </a:prstGeom>
      </xdr:spPr>
    </xdr:pic>
    <xdr:clientData/>
  </xdr:twoCellAnchor>
  <xdr:twoCellAnchor editAs="oneCell">
    <xdr:from>
      <xdr:col>15</xdr:col>
      <xdr:colOff>59287</xdr:colOff>
      <xdr:row>37</xdr:row>
      <xdr:rowOff>161071</xdr:rowOff>
    </xdr:from>
    <xdr:to>
      <xdr:col>15</xdr:col>
      <xdr:colOff>363173</xdr:colOff>
      <xdr:row>38</xdr:row>
      <xdr:rowOff>11211</xdr:rowOff>
    </xdr:to>
    <xdr:pic>
      <xdr:nvPicPr>
        <xdr:cNvPr id="15" name="Afbeelding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191506" y="7685821"/>
          <a:ext cx="303886" cy="350203"/>
        </a:xfrm>
        <a:prstGeom prst="rect">
          <a:avLst/>
        </a:prstGeom>
      </xdr:spPr>
    </xdr:pic>
    <xdr:clientData/>
  </xdr:twoCellAnchor>
  <xdr:twoCellAnchor editAs="oneCell">
    <xdr:from>
      <xdr:col>18</xdr:col>
      <xdr:colOff>219765</xdr:colOff>
      <xdr:row>37</xdr:row>
      <xdr:rowOff>163871</xdr:rowOff>
    </xdr:from>
    <xdr:to>
      <xdr:col>19</xdr:col>
      <xdr:colOff>70747</xdr:colOff>
      <xdr:row>38</xdr:row>
      <xdr:rowOff>14011</xdr:rowOff>
    </xdr:to>
    <xdr:pic>
      <xdr:nvPicPr>
        <xdr:cNvPr id="16" name="Afbeelding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2066484" y="7688621"/>
          <a:ext cx="255794" cy="350203"/>
        </a:xfrm>
        <a:prstGeom prst="rect">
          <a:avLst/>
        </a:prstGeom>
      </xdr:spPr>
    </xdr:pic>
    <xdr:clientData/>
  </xdr:twoCellAnchor>
  <xdr:twoCellAnchor editAs="oneCell">
    <xdr:from>
      <xdr:col>3</xdr:col>
      <xdr:colOff>563399</xdr:colOff>
      <xdr:row>38</xdr:row>
      <xdr:rowOff>159357</xdr:rowOff>
    </xdr:from>
    <xdr:to>
      <xdr:col>4</xdr:col>
      <xdr:colOff>408571</xdr:colOff>
      <xdr:row>39</xdr:row>
      <xdr:rowOff>121258</xdr:rowOff>
    </xdr:to>
    <xdr:pic>
      <xdr:nvPicPr>
        <xdr:cNvPr id="17" name="Afbeelding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01774" y="8184170"/>
          <a:ext cx="440485" cy="461963"/>
        </a:xfrm>
        <a:prstGeom prst="rect">
          <a:avLst/>
        </a:prstGeom>
      </xdr:spPr>
    </xdr:pic>
    <xdr:clientData/>
  </xdr:twoCellAnchor>
  <xdr:twoCellAnchor editAs="oneCell">
    <xdr:from>
      <xdr:col>6</xdr:col>
      <xdr:colOff>579343</xdr:colOff>
      <xdr:row>38</xdr:row>
      <xdr:rowOff>154781</xdr:rowOff>
    </xdr:from>
    <xdr:to>
      <xdr:col>7</xdr:col>
      <xdr:colOff>452343</xdr:colOff>
      <xdr:row>39</xdr:row>
      <xdr:rowOff>116682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556031" y="8179594"/>
          <a:ext cx="468312" cy="461963"/>
        </a:xfrm>
        <a:prstGeom prst="rect">
          <a:avLst/>
        </a:prstGeom>
      </xdr:spPr>
    </xdr:pic>
    <xdr:clientData/>
  </xdr:twoCellAnchor>
  <xdr:twoCellAnchor editAs="oneCell">
    <xdr:from>
      <xdr:col>12</xdr:col>
      <xdr:colOff>110051</xdr:colOff>
      <xdr:row>38</xdr:row>
      <xdr:rowOff>119063</xdr:rowOff>
    </xdr:from>
    <xdr:to>
      <xdr:col>13</xdr:col>
      <xdr:colOff>56262</xdr:colOff>
      <xdr:row>39</xdr:row>
      <xdr:rowOff>80964</xdr:rowOff>
    </xdr:to>
    <xdr:pic>
      <xdr:nvPicPr>
        <xdr:cNvPr id="23" name="Afbeelding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301551" y="8143876"/>
          <a:ext cx="398649" cy="461963"/>
        </a:xfrm>
        <a:prstGeom prst="rect">
          <a:avLst/>
        </a:prstGeom>
      </xdr:spPr>
    </xdr:pic>
    <xdr:clientData/>
  </xdr:twoCellAnchor>
  <xdr:twoCellAnchor editAs="oneCell">
    <xdr:from>
      <xdr:col>15</xdr:col>
      <xdr:colOff>11906</xdr:colOff>
      <xdr:row>38</xdr:row>
      <xdr:rowOff>119062</xdr:rowOff>
    </xdr:from>
    <xdr:to>
      <xdr:col>16</xdr:col>
      <xdr:colOff>29555</xdr:colOff>
      <xdr:row>39</xdr:row>
      <xdr:rowOff>80963</xdr:rowOff>
    </xdr:to>
    <xdr:pic>
      <xdr:nvPicPr>
        <xdr:cNvPr id="24" name="Afbeelding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144125" y="8143875"/>
          <a:ext cx="398649" cy="461963"/>
        </a:xfrm>
        <a:prstGeom prst="rect">
          <a:avLst/>
        </a:prstGeom>
      </xdr:spPr>
    </xdr:pic>
    <xdr:clientData/>
  </xdr:twoCellAnchor>
  <xdr:twoCellAnchor editAs="oneCell">
    <xdr:from>
      <xdr:col>18</xdr:col>
      <xdr:colOff>219765</xdr:colOff>
      <xdr:row>38</xdr:row>
      <xdr:rowOff>214313</xdr:rowOff>
    </xdr:from>
    <xdr:to>
      <xdr:col>19</xdr:col>
      <xdr:colOff>70747</xdr:colOff>
      <xdr:row>39</xdr:row>
      <xdr:rowOff>64454</xdr:rowOff>
    </xdr:to>
    <xdr:pic>
      <xdr:nvPicPr>
        <xdr:cNvPr id="25" name="Afbeelding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2066484" y="8239126"/>
          <a:ext cx="255794" cy="350203"/>
        </a:xfrm>
        <a:prstGeom prst="rect">
          <a:avLst/>
        </a:prstGeom>
      </xdr:spPr>
    </xdr:pic>
    <xdr:clientData/>
  </xdr:twoCellAnchor>
  <xdr:twoCellAnchor editAs="oneCell">
    <xdr:from>
      <xdr:col>9</xdr:col>
      <xdr:colOff>678656</xdr:colOff>
      <xdr:row>37</xdr:row>
      <xdr:rowOff>95250</xdr:rowOff>
    </xdr:from>
    <xdr:to>
      <xdr:col>10</xdr:col>
      <xdr:colOff>99218</xdr:colOff>
      <xdr:row>38</xdr:row>
      <xdr:rowOff>57150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441281" y="7620000"/>
          <a:ext cx="468312" cy="461963"/>
        </a:xfrm>
        <a:prstGeom prst="rect">
          <a:avLst/>
        </a:prstGeom>
      </xdr:spPr>
    </xdr:pic>
    <xdr:clientData/>
  </xdr:twoCellAnchor>
  <xdr:twoCellAnchor editAs="oneCell">
    <xdr:from>
      <xdr:col>9</xdr:col>
      <xdr:colOff>678656</xdr:colOff>
      <xdr:row>38</xdr:row>
      <xdr:rowOff>151747</xdr:rowOff>
    </xdr:from>
    <xdr:to>
      <xdr:col>10</xdr:col>
      <xdr:colOff>99218</xdr:colOff>
      <xdr:row>39</xdr:row>
      <xdr:rowOff>113648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441281" y="8176560"/>
          <a:ext cx="468312" cy="4619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DV54"/>
  <sheetViews>
    <sheetView showGridLines="0" zoomScale="85" zoomScaleNormal="85" zoomScalePageLayoutView="80" workbookViewId="0"/>
  </sheetViews>
  <sheetFormatPr defaultColWidth="8.85546875" defaultRowHeight="15" x14ac:dyDescent="0.25"/>
  <cols>
    <col min="2" max="2" width="3.28515625" customWidth="1"/>
    <col min="3" max="3" width="53.140625" bestFit="1" customWidth="1"/>
    <col min="4" max="4" width="8.85546875" bestFit="1" customWidth="1"/>
    <col min="5" max="5" width="29.7109375" bestFit="1" customWidth="1"/>
    <col min="6" max="6" width="10.85546875" customWidth="1"/>
    <col min="7" max="7" width="20.85546875" bestFit="1" customWidth="1"/>
    <col min="8" max="8" width="26.85546875" bestFit="1" customWidth="1"/>
    <col min="9" max="9" width="11.28515625" customWidth="1"/>
    <col min="10" max="10" width="20.85546875" customWidth="1"/>
    <col min="11" max="11" width="27.42578125" bestFit="1" customWidth="1"/>
    <col min="12" max="12" width="11.42578125" bestFit="1" customWidth="1"/>
    <col min="13" max="13" width="17.85546875" bestFit="1" customWidth="1"/>
    <col min="14" max="14" width="13" bestFit="1" customWidth="1"/>
    <col min="15" max="15" width="2.85546875" customWidth="1"/>
    <col min="16" max="16" width="17.85546875" bestFit="1" customWidth="1"/>
    <col min="17" max="17" width="12.42578125" customWidth="1"/>
    <col min="18" max="18" width="2.7109375" customWidth="1"/>
    <col min="19" max="19" width="27.28515625" customWidth="1"/>
    <col min="20" max="20" width="13" bestFit="1" customWidth="1"/>
    <col min="22" max="22" width="17.85546875" bestFit="1" customWidth="1"/>
  </cols>
  <sheetData>
    <row r="1" spans="2:29" ht="15.75" thickBot="1" x14ac:dyDescent="0.3"/>
    <row r="2" spans="2:29" ht="15.75" thickBot="1" x14ac:dyDescent="0.3">
      <c r="B2" s="97"/>
      <c r="C2" s="2"/>
      <c r="D2" s="2"/>
      <c r="E2" s="2"/>
      <c r="F2" s="2"/>
      <c r="G2" s="2"/>
      <c r="H2" s="2"/>
      <c r="I2" s="2"/>
      <c r="J2" s="2"/>
      <c r="K2" s="2"/>
      <c r="L2" s="2"/>
      <c r="M2" s="3"/>
    </row>
    <row r="3" spans="2:29" ht="17.25" x14ac:dyDescent="0.3">
      <c r="B3" s="4"/>
      <c r="C3" s="5"/>
      <c r="D3" s="5"/>
      <c r="E3" s="5"/>
      <c r="F3" s="5"/>
      <c r="G3" s="5"/>
      <c r="H3" s="75" t="s">
        <v>88</v>
      </c>
      <c r="I3" s="2"/>
      <c r="J3" s="2"/>
      <c r="K3" s="2"/>
      <c r="L3" s="3"/>
      <c r="M3" s="6"/>
    </row>
    <row r="4" spans="2:29" x14ac:dyDescent="0.25">
      <c r="B4" s="4"/>
      <c r="C4" s="5"/>
      <c r="D4" s="5"/>
      <c r="E4" s="5"/>
      <c r="F4" s="5"/>
      <c r="G4" s="5"/>
      <c r="H4" s="4"/>
      <c r="I4" s="5"/>
      <c r="J4" s="5"/>
      <c r="K4" s="5"/>
      <c r="L4" s="6"/>
      <c r="M4" s="6"/>
    </row>
    <row r="5" spans="2:29" ht="17.25" x14ac:dyDescent="0.3">
      <c r="B5" s="4"/>
      <c r="C5" s="5"/>
      <c r="D5" s="5"/>
      <c r="E5" s="5"/>
      <c r="F5" s="5"/>
      <c r="G5" s="5"/>
      <c r="H5" s="56"/>
      <c r="I5" s="94" t="s">
        <v>91</v>
      </c>
      <c r="J5" s="5"/>
      <c r="K5" s="128"/>
      <c r="L5" s="95" t="s">
        <v>99</v>
      </c>
      <c r="M5" s="6"/>
    </row>
    <row r="6" spans="2:29" x14ac:dyDescent="0.25">
      <c r="B6" s="4"/>
      <c r="C6" s="5"/>
      <c r="D6" s="5"/>
      <c r="E6" s="5"/>
      <c r="F6" s="5"/>
      <c r="G6" s="5"/>
      <c r="H6" s="4"/>
      <c r="I6" s="5"/>
      <c r="J6" s="5"/>
      <c r="K6" s="5"/>
      <c r="L6" s="6"/>
      <c r="M6" s="6"/>
    </row>
    <row r="7" spans="2:29" ht="17.25" x14ac:dyDescent="0.3">
      <c r="B7" s="4"/>
      <c r="C7" s="5"/>
      <c r="D7" s="5"/>
      <c r="E7" s="5"/>
      <c r="F7" s="5"/>
      <c r="G7" s="5"/>
      <c r="H7" s="129"/>
      <c r="I7" s="94" t="s">
        <v>92</v>
      </c>
      <c r="J7" s="5"/>
      <c r="K7" s="127"/>
      <c r="L7" s="95" t="s">
        <v>100</v>
      </c>
      <c r="M7" s="6"/>
    </row>
    <row r="8" spans="2:29" ht="15.75" thickBot="1" x14ac:dyDescent="0.3">
      <c r="B8" s="4"/>
      <c r="C8" s="5"/>
      <c r="D8" s="5"/>
      <c r="E8" s="5"/>
      <c r="F8" s="5"/>
      <c r="G8" s="5"/>
      <c r="H8" s="8"/>
      <c r="I8" s="9"/>
      <c r="J8" s="9"/>
      <c r="K8" s="9"/>
      <c r="L8" s="10"/>
      <c r="M8" s="6"/>
    </row>
    <row r="9" spans="2:29" ht="15.75" thickBot="1" x14ac:dyDescent="0.3">
      <c r="B9" s="4"/>
      <c r="C9" s="5"/>
      <c r="D9" s="5"/>
      <c r="E9" s="5"/>
      <c r="F9" s="7"/>
      <c r="G9" s="5"/>
      <c r="H9" s="5"/>
      <c r="I9" s="5"/>
      <c r="J9" s="5"/>
      <c r="K9" s="5"/>
      <c r="L9" s="5"/>
      <c r="M9" s="6"/>
    </row>
    <row r="10" spans="2:29" x14ac:dyDescent="0.25">
      <c r="B10" s="4"/>
      <c r="C10" s="5"/>
      <c r="D10" s="5"/>
      <c r="E10" s="97"/>
      <c r="F10" s="3"/>
      <c r="G10" s="5"/>
      <c r="H10" s="97"/>
      <c r="I10" s="3"/>
      <c r="J10" s="5"/>
      <c r="K10" s="97"/>
      <c r="L10" s="3"/>
      <c r="M10" s="6"/>
    </row>
    <row r="11" spans="2:29" x14ac:dyDescent="0.25">
      <c r="B11" s="4"/>
      <c r="C11" s="5"/>
      <c r="D11" s="5"/>
      <c r="E11" s="4"/>
      <c r="F11" s="98"/>
      <c r="G11" s="5"/>
      <c r="H11" s="4"/>
      <c r="I11" s="6"/>
      <c r="J11" s="5"/>
      <c r="K11" s="4"/>
      <c r="L11" s="6"/>
      <c r="M11" s="6"/>
    </row>
    <row r="12" spans="2:29" x14ac:dyDescent="0.25">
      <c r="B12" s="4"/>
      <c r="C12" s="5"/>
      <c r="D12" s="19"/>
      <c r="E12" s="4"/>
      <c r="F12" s="6"/>
      <c r="G12" s="5"/>
      <c r="H12" s="4"/>
      <c r="I12" s="6"/>
      <c r="J12" s="5"/>
      <c r="K12" s="4"/>
      <c r="L12" s="6"/>
      <c r="M12" s="6"/>
    </row>
    <row r="13" spans="2:29" x14ac:dyDescent="0.25">
      <c r="B13" s="4"/>
      <c r="C13" s="5"/>
      <c r="D13" s="19"/>
      <c r="E13" s="4"/>
      <c r="F13" s="6"/>
      <c r="G13" s="5"/>
      <c r="H13" s="4"/>
      <c r="I13" s="6"/>
      <c r="J13" s="5"/>
      <c r="K13" s="4"/>
      <c r="L13" s="6"/>
      <c r="M13" s="6"/>
      <c r="AC13" s="54" t="s">
        <v>23</v>
      </c>
    </row>
    <row r="14" spans="2:29" x14ac:dyDescent="0.25">
      <c r="B14" s="4"/>
      <c r="C14" s="5"/>
      <c r="D14" s="19"/>
      <c r="E14" s="4"/>
      <c r="F14" s="6"/>
      <c r="G14" s="5"/>
      <c r="H14" s="4"/>
      <c r="I14" s="6"/>
      <c r="J14" s="5"/>
      <c r="K14" s="4"/>
      <c r="L14" s="6"/>
      <c r="M14" s="6"/>
      <c r="AC14" s="54" t="s">
        <v>20</v>
      </c>
    </row>
    <row r="15" spans="2:29" x14ac:dyDescent="0.25">
      <c r="B15" s="112"/>
      <c r="C15" s="16"/>
      <c r="D15" s="19"/>
      <c r="E15" s="4"/>
      <c r="F15" s="6"/>
      <c r="G15" s="5"/>
      <c r="H15" s="4"/>
      <c r="I15" s="6"/>
      <c r="J15" s="5"/>
      <c r="K15" s="4"/>
      <c r="L15" s="6"/>
      <c r="M15" s="6"/>
    </row>
    <row r="16" spans="2:29" x14ac:dyDescent="0.25">
      <c r="B16" s="112"/>
      <c r="C16" s="16"/>
      <c r="D16" s="19"/>
      <c r="E16" s="4"/>
      <c r="F16" s="6"/>
      <c r="G16" s="5"/>
      <c r="H16" s="4"/>
      <c r="I16" s="6"/>
      <c r="J16" s="5"/>
      <c r="K16" s="4"/>
      <c r="L16" s="6"/>
      <c r="M16" s="6"/>
    </row>
    <row r="17" spans="2:13" x14ac:dyDescent="0.25">
      <c r="B17" s="112"/>
      <c r="C17" s="16"/>
      <c r="D17" s="19"/>
      <c r="E17" s="4"/>
      <c r="F17" s="6"/>
      <c r="G17" s="5"/>
      <c r="H17" s="4"/>
      <c r="I17" s="6"/>
      <c r="J17" s="5"/>
      <c r="K17" s="4"/>
      <c r="L17" s="6"/>
      <c r="M17" s="6"/>
    </row>
    <row r="18" spans="2:13" x14ac:dyDescent="0.25">
      <c r="B18" s="4"/>
      <c r="C18" s="16"/>
      <c r="D18" s="19"/>
      <c r="E18" s="4"/>
      <c r="F18" s="6"/>
      <c r="G18" s="5"/>
      <c r="H18" s="4"/>
      <c r="I18" s="6"/>
      <c r="J18" s="5"/>
      <c r="K18" s="4"/>
      <c r="L18" s="6"/>
      <c r="M18" s="6"/>
    </row>
    <row r="19" spans="2:13" ht="15.75" thickBot="1" x14ac:dyDescent="0.3">
      <c r="B19" s="4"/>
      <c r="C19" s="16"/>
      <c r="D19" s="19"/>
      <c r="E19" s="4"/>
      <c r="F19" s="6"/>
      <c r="G19" s="5"/>
      <c r="H19" s="4"/>
      <c r="I19" s="6"/>
      <c r="J19" s="5"/>
      <c r="K19" s="4"/>
      <c r="L19" s="6"/>
      <c r="M19" s="6"/>
    </row>
    <row r="20" spans="2:13" ht="21.75" thickBot="1" x14ac:dyDescent="0.4">
      <c r="B20" s="4"/>
      <c r="C20" s="88" t="s">
        <v>98</v>
      </c>
      <c r="D20" s="5"/>
      <c r="E20" s="92">
        <f>Invulveld!E67</f>
        <v>16681</v>
      </c>
      <c r="F20" s="93"/>
      <c r="G20" s="5"/>
      <c r="H20" s="92">
        <f>Invulveld!H67</f>
        <v>10418</v>
      </c>
      <c r="I20" s="93"/>
      <c r="J20" s="5"/>
      <c r="K20" s="92">
        <f>Invulveld!K67</f>
        <v>16796.16</v>
      </c>
      <c r="L20" s="93"/>
      <c r="M20" s="6"/>
    </row>
    <row r="21" spans="2:13" ht="15.75" thickBot="1" x14ac:dyDescent="0.3">
      <c r="B21" s="4"/>
      <c r="C21" s="5"/>
      <c r="D21" s="5"/>
      <c r="E21" s="4"/>
      <c r="F21" s="6"/>
      <c r="G21" s="5"/>
      <c r="H21" s="4"/>
      <c r="I21" s="6"/>
      <c r="J21" s="5"/>
      <c r="K21" s="4"/>
      <c r="L21" s="6"/>
      <c r="M21" s="6"/>
    </row>
    <row r="22" spans="2:13" ht="19.5" thickBot="1" x14ac:dyDescent="0.35">
      <c r="B22" s="4"/>
      <c r="C22" s="88" t="s">
        <v>52</v>
      </c>
      <c r="D22" s="106"/>
      <c r="E22" s="108" t="s">
        <v>4</v>
      </c>
      <c r="F22" s="89" t="str">
        <f>'Test afmetingen en gewicht'!F13</f>
        <v>Ja</v>
      </c>
      <c r="G22" s="113"/>
      <c r="H22" s="110" t="s">
        <v>5</v>
      </c>
      <c r="I22" s="96" t="str">
        <f>'Test afmetingen en gewicht'!F26</f>
        <v>Ja</v>
      </c>
      <c r="J22" s="90"/>
      <c r="K22" s="110" t="s">
        <v>43</v>
      </c>
      <c r="L22" s="96" t="str">
        <f>'Test afmetingen en gewicht'!X13</f>
        <v>Ja</v>
      </c>
      <c r="M22" s="6"/>
    </row>
    <row r="23" spans="2:13" ht="19.5" thickBot="1" x14ac:dyDescent="0.35">
      <c r="B23" s="4"/>
      <c r="C23" s="90"/>
      <c r="D23" s="107"/>
      <c r="E23" s="99"/>
      <c r="F23" s="100"/>
      <c r="G23" s="90"/>
      <c r="H23" s="99"/>
      <c r="I23" s="100"/>
      <c r="J23" s="90"/>
      <c r="K23" s="99"/>
      <c r="L23" s="100"/>
      <c r="M23" s="6"/>
    </row>
    <row r="24" spans="2:13" ht="19.5" thickBot="1" x14ac:dyDescent="0.35">
      <c r="B24" s="4"/>
      <c r="C24" s="88" t="s">
        <v>106</v>
      </c>
      <c r="D24" s="106"/>
      <c r="E24" s="108" t="s">
        <v>4</v>
      </c>
      <c r="F24" s="89" t="str">
        <f>IF(Invulveld!$E$14="Ja",'Test afmetingen en gewicht'!C30,"Ja")</f>
        <v>Ja</v>
      </c>
      <c r="G24" s="90"/>
      <c r="H24" s="110" t="s">
        <v>5</v>
      </c>
      <c r="I24" s="96" t="str">
        <f>IF(Invulveld!$E$14="Ja",'Test afmetingen en gewicht'!C31,"Ja")</f>
        <v>Ja</v>
      </c>
      <c r="J24" s="90"/>
      <c r="K24" s="110" t="s">
        <v>43</v>
      </c>
      <c r="L24" s="96" t="str">
        <f>IF(Invulveld!$E$14="Ja",'Test afmetingen en gewicht'!C32,"Ja")</f>
        <v>Ja</v>
      </c>
      <c r="M24" s="6"/>
    </row>
    <row r="25" spans="2:13" ht="19.5" thickBot="1" x14ac:dyDescent="0.35">
      <c r="B25" s="4"/>
      <c r="C25" s="90"/>
      <c r="D25" s="107"/>
      <c r="E25" s="101"/>
      <c r="F25" s="100"/>
      <c r="G25" s="90"/>
      <c r="H25" s="101"/>
      <c r="I25" s="100"/>
      <c r="J25" s="90"/>
      <c r="K25" s="101"/>
      <c r="L25" s="100"/>
      <c r="M25" s="6"/>
    </row>
    <row r="26" spans="2:13" ht="19.5" thickBot="1" x14ac:dyDescent="0.35">
      <c r="B26" s="4"/>
      <c r="C26" s="88" t="s">
        <v>53</v>
      </c>
      <c r="D26" s="106"/>
      <c r="E26" s="109" t="s">
        <v>4</v>
      </c>
      <c r="F26" s="89" t="str">
        <f>IF(Invulveld!$E$15&lt;'Test afmetingen en gewicht'!C39,"Ja","Nee")</f>
        <v>Ja</v>
      </c>
      <c r="G26" s="90"/>
      <c r="H26" s="111" t="s">
        <v>5</v>
      </c>
      <c r="I26" s="96" t="str">
        <f>IF(Invulveld!$E$15&lt;'Test afmetingen en gewicht'!C40,"Ja","Nee")</f>
        <v>Ja</v>
      </c>
      <c r="J26" s="90"/>
      <c r="K26" s="110" t="s">
        <v>43</v>
      </c>
      <c r="L26" s="96" t="str">
        <f>IF(Invulveld!$E$15&lt;'Test afmetingen en gewicht'!C41,"Ja","Nee")</f>
        <v>Ja</v>
      </c>
      <c r="M26" s="6"/>
    </row>
    <row r="27" spans="2:13" ht="19.5" thickBot="1" x14ac:dyDescent="0.35">
      <c r="B27" s="4"/>
      <c r="C27" s="90"/>
      <c r="D27" s="91"/>
      <c r="E27" s="90"/>
      <c r="F27" s="90"/>
      <c r="G27" s="90"/>
      <c r="H27" s="90"/>
      <c r="I27" s="90"/>
      <c r="J27" s="90"/>
      <c r="K27" s="90"/>
      <c r="L27" s="5"/>
      <c r="M27" s="6"/>
    </row>
    <row r="28" spans="2:13" ht="18.75" x14ac:dyDescent="0.3">
      <c r="B28" s="4"/>
      <c r="C28" s="90"/>
      <c r="D28" s="90"/>
      <c r="E28" s="102"/>
      <c r="F28" s="103"/>
      <c r="G28" s="90"/>
      <c r="H28" s="102"/>
      <c r="I28" s="103"/>
      <c r="J28" s="90"/>
      <c r="K28" s="102"/>
      <c r="L28" s="103"/>
      <c r="M28" s="6"/>
    </row>
    <row r="29" spans="2:13" ht="18.75" x14ac:dyDescent="0.3">
      <c r="B29" s="4"/>
      <c r="C29" s="90"/>
      <c r="D29" s="90"/>
      <c r="E29" s="99"/>
      <c r="F29" s="104"/>
      <c r="G29" s="114"/>
      <c r="H29" s="99"/>
      <c r="I29" s="104"/>
      <c r="J29" s="90"/>
      <c r="K29" s="99"/>
      <c r="L29" s="104"/>
      <c r="M29" s="6"/>
    </row>
    <row r="30" spans="2:13" ht="18.75" x14ac:dyDescent="0.3">
      <c r="B30" s="4"/>
      <c r="C30" s="90"/>
      <c r="D30" s="90"/>
      <c r="E30" s="99"/>
      <c r="F30" s="104"/>
      <c r="G30" s="90"/>
      <c r="H30" s="99"/>
      <c r="I30" s="104"/>
      <c r="J30" s="90"/>
      <c r="K30" s="99"/>
      <c r="L30" s="104"/>
      <c r="M30" s="6"/>
    </row>
    <row r="31" spans="2:13" ht="18.75" x14ac:dyDescent="0.3">
      <c r="B31" s="4"/>
      <c r="C31" s="90"/>
      <c r="D31" s="90"/>
      <c r="E31" s="99"/>
      <c r="F31" s="104"/>
      <c r="G31" s="90"/>
      <c r="H31" s="99"/>
      <c r="I31" s="104"/>
      <c r="J31" s="90"/>
      <c r="K31" s="99"/>
      <c r="L31" s="104"/>
      <c r="M31" s="6"/>
    </row>
    <row r="32" spans="2:13" ht="18.75" x14ac:dyDescent="0.3">
      <c r="B32" s="4"/>
      <c r="C32" s="90"/>
      <c r="D32" s="90"/>
      <c r="E32" s="99"/>
      <c r="F32" s="104"/>
      <c r="G32" s="90"/>
      <c r="H32" s="99"/>
      <c r="I32" s="104"/>
      <c r="J32" s="90"/>
      <c r="K32" s="99"/>
      <c r="L32" s="104"/>
      <c r="M32" s="6"/>
    </row>
    <row r="33" spans="1:126" ht="19.5" thickBot="1" x14ac:dyDescent="0.35">
      <c r="B33" s="4"/>
      <c r="C33" s="90"/>
      <c r="D33" s="90"/>
      <c r="E33" s="99"/>
      <c r="F33" s="104"/>
      <c r="G33" s="90"/>
      <c r="H33" s="99"/>
      <c r="I33" s="104"/>
      <c r="J33" s="90"/>
      <c r="K33" s="99"/>
      <c r="L33" s="104"/>
      <c r="M33" s="6"/>
    </row>
    <row r="34" spans="1:126" ht="21.75" thickBot="1" x14ac:dyDescent="0.4">
      <c r="B34" s="4"/>
      <c r="C34" s="88" t="s">
        <v>98</v>
      </c>
      <c r="D34" s="90"/>
      <c r="E34" s="92">
        <f>Invulveld!N67</f>
        <v>17421.16</v>
      </c>
      <c r="F34" s="93"/>
      <c r="G34" s="90"/>
      <c r="H34" s="92">
        <f>Invulveld!Q67</f>
        <v>18852.2</v>
      </c>
      <c r="I34" s="93"/>
      <c r="J34" s="90"/>
      <c r="K34" s="92">
        <f>Invulveld!T67</f>
        <v>16921.62132876712</v>
      </c>
      <c r="L34" s="93"/>
      <c r="M34" s="6"/>
    </row>
    <row r="35" spans="1:126" ht="19.5" thickBot="1" x14ac:dyDescent="0.35">
      <c r="B35" s="4"/>
      <c r="C35" s="90"/>
      <c r="D35" s="90"/>
      <c r="E35" s="99"/>
      <c r="F35" s="104"/>
      <c r="G35" s="90"/>
      <c r="H35" s="99"/>
      <c r="I35" s="104"/>
      <c r="J35" s="90"/>
      <c r="K35" s="99"/>
      <c r="L35" s="104"/>
      <c r="M35" s="6"/>
    </row>
    <row r="36" spans="1:126" ht="19.5" thickBot="1" x14ac:dyDescent="0.35">
      <c r="B36" s="4"/>
      <c r="C36" s="88" t="s">
        <v>52</v>
      </c>
      <c r="D36" s="90"/>
      <c r="E36" s="110" t="s">
        <v>44</v>
      </c>
      <c r="F36" s="96" t="str">
        <f>'Test afmetingen en gewicht'!X26</f>
        <v>Ja</v>
      </c>
      <c r="G36" s="90"/>
      <c r="H36" s="110" t="s">
        <v>40</v>
      </c>
      <c r="I36" s="96" t="str">
        <f>'Test afmetingen en gewicht'!O26</f>
        <v>Ja</v>
      </c>
      <c r="J36" s="90"/>
      <c r="K36" s="110" t="s">
        <v>17</v>
      </c>
      <c r="L36" s="96" t="str">
        <f>'Test afmetingen en gewicht'!O13</f>
        <v>Ja</v>
      </c>
      <c r="M36" s="6"/>
    </row>
    <row r="37" spans="1:126" ht="19.5" thickBot="1" x14ac:dyDescent="0.35">
      <c r="B37" s="4"/>
      <c r="C37" s="90"/>
      <c r="D37" s="90"/>
      <c r="E37" s="99"/>
      <c r="F37" s="100"/>
      <c r="G37" s="90"/>
      <c r="H37" s="99"/>
      <c r="I37" s="100"/>
      <c r="J37" s="90"/>
      <c r="K37" s="99"/>
      <c r="L37" s="100"/>
      <c r="M37" s="6"/>
    </row>
    <row r="38" spans="1:126" ht="19.5" thickBot="1" x14ac:dyDescent="0.35">
      <c r="B38" s="4"/>
      <c r="C38" s="88" t="s">
        <v>106</v>
      </c>
      <c r="D38" s="90"/>
      <c r="E38" s="110" t="s">
        <v>44</v>
      </c>
      <c r="F38" s="96" t="str">
        <f>IF(Invulveld!$E$14="Ja",'Test afmetingen en gewicht'!C33,"Ja")</f>
        <v>Ja</v>
      </c>
      <c r="G38" s="90"/>
      <c r="H38" s="110" t="s">
        <v>40</v>
      </c>
      <c r="I38" s="96" t="str">
        <f>IF(Invulveld!$E$14="Ja",'Test afmetingen en gewicht'!C34,"Ja")</f>
        <v>Ja</v>
      </c>
      <c r="J38" s="90"/>
      <c r="K38" s="110" t="s">
        <v>17</v>
      </c>
      <c r="L38" s="96" t="str">
        <f>IF(Invulveld!$E$14="Ja",'Test afmetingen en gewicht'!C35,"Ja")</f>
        <v>Ja</v>
      </c>
      <c r="M38" s="6"/>
    </row>
    <row r="39" spans="1:126" ht="19.5" thickBot="1" x14ac:dyDescent="0.35">
      <c r="B39" s="4"/>
      <c r="C39" s="90"/>
      <c r="D39" s="90"/>
      <c r="E39" s="101"/>
      <c r="F39" s="100"/>
      <c r="G39" s="90"/>
      <c r="H39" s="101"/>
      <c r="I39" s="100"/>
      <c r="J39" s="90"/>
      <c r="K39" s="101"/>
      <c r="L39" s="100"/>
      <c r="M39" s="6"/>
    </row>
    <row r="40" spans="1:126" ht="19.5" thickBot="1" x14ac:dyDescent="0.35">
      <c r="B40" s="4"/>
      <c r="C40" s="88" t="s">
        <v>53</v>
      </c>
      <c r="D40" s="90"/>
      <c r="E40" s="110" t="s">
        <v>44</v>
      </c>
      <c r="F40" s="96" t="str">
        <f>IF(Invulveld!$E$15&lt;'Test afmetingen en gewicht'!C42,"Ja","Nee")</f>
        <v>Ja</v>
      </c>
      <c r="G40" s="90"/>
      <c r="H40" s="110" t="s">
        <v>40</v>
      </c>
      <c r="I40" s="96" t="str">
        <f>IF(Invulveld!$E$15&lt;'Test afmetingen en gewicht'!C43,"Ja","Nee")</f>
        <v>Ja</v>
      </c>
      <c r="J40" s="90"/>
      <c r="K40" s="111" t="s">
        <v>17</v>
      </c>
      <c r="L40" s="96" t="str">
        <f>IF(Invulveld!$E$15&lt;'Test afmetingen en gewicht'!C44,"Ja","Nee")</f>
        <v>Ja</v>
      </c>
      <c r="M40" s="6"/>
    </row>
    <row r="41" spans="1:126" x14ac:dyDescent="0.25">
      <c r="B41" s="4"/>
      <c r="C41" s="5"/>
      <c r="D41" s="5"/>
      <c r="E41" s="5"/>
      <c r="F41" s="5"/>
      <c r="G41" s="5"/>
      <c r="H41" s="5"/>
      <c r="I41" s="5"/>
      <c r="J41" s="5"/>
      <c r="K41" s="5"/>
      <c r="L41" s="5"/>
      <c r="M41" s="6"/>
    </row>
    <row r="42" spans="1:126" ht="15.75" thickBot="1" x14ac:dyDescent="0.3">
      <c r="B42" s="8"/>
      <c r="C42" s="9"/>
      <c r="D42" s="9"/>
      <c r="E42" s="9"/>
      <c r="F42" s="9"/>
      <c r="G42" s="9"/>
      <c r="H42" s="9"/>
      <c r="I42" s="9"/>
      <c r="J42" s="9"/>
      <c r="K42" s="9"/>
      <c r="L42" s="9"/>
      <c r="M42" s="10"/>
    </row>
    <row r="45" spans="1:126" x14ac:dyDescent="0.25">
      <c r="B45" s="54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</row>
    <row r="46" spans="1:126" x14ac:dyDescent="0.25"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</row>
    <row r="47" spans="1:126" s="50" customFormat="1" x14ac:dyDescent="0.25">
      <c r="A47" s="105"/>
      <c r="B47" s="105"/>
      <c r="C47" s="105"/>
      <c r="D47" s="105"/>
      <c r="E47" s="105"/>
      <c r="F47" s="105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5"/>
      <c r="AD47" s="105"/>
      <c r="AE47" s="105"/>
      <c r="AF47" s="105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53"/>
      <c r="AW47" s="53"/>
      <c r="AX47" s="53"/>
      <c r="AY47" s="53"/>
      <c r="AZ47" s="53"/>
      <c r="BA47" s="53"/>
      <c r="BB47" s="53"/>
      <c r="BC47" s="53"/>
      <c r="BD47" s="53"/>
      <c r="BE47" s="53"/>
      <c r="BF47" s="53"/>
      <c r="BG47" s="53"/>
      <c r="BH47" s="53"/>
      <c r="BI47" s="53"/>
      <c r="BJ47" s="53"/>
      <c r="BK47" s="53"/>
      <c r="BL47" s="53"/>
      <c r="BM47" s="53"/>
      <c r="BN47" s="53"/>
      <c r="BO47" s="53"/>
      <c r="BP47" s="53"/>
      <c r="BQ47" s="53"/>
      <c r="BR47" s="53"/>
      <c r="BS47" s="53"/>
      <c r="BT47" s="53"/>
      <c r="BU47" s="53"/>
      <c r="BV47" s="53"/>
      <c r="BW47" s="53"/>
      <c r="BX47" s="53"/>
      <c r="BY47" s="53"/>
      <c r="BZ47" s="53"/>
      <c r="CA47" s="53"/>
      <c r="CB47" s="53"/>
      <c r="CC47" s="53"/>
      <c r="CD47" s="53"/>
      <c r="CE47" s="53"/>
      <c r="CF47" s="53"/>
      <c r="CG47" s="53"/>
      <c r="CH47" s="53"/>
      <c r="CI47" s="53"/>
      <c r="CJ47" s="53"/>
      <c r="CK47" s="53"/>
      <c r="CL47" s="53"/>
      <c r="CM47" s="53"/>
      <c r="CN47" s="53"/>
      <c r="CO47" s="53"/>
      <c r="CP47" s="53"/>
      <c r="CQ47" s="53"/>
      <c r="CR47" s="53"/>
      <c r="CS47" s="53"/>
      <c r="CT47" s="53"/>
      <c r="CU47" s="53"/>
      <c r="CV47" s="53"/>
      <c r="CW47" s="53"/>
      <c r="CX47" s="53"/>
      <c r="CY47" s="53"/>
      <c r="CZ47" s="53"/>
      <c r="DA47" s="53"/>
      <c r="DB47" s="53"/>
      <c r="DC47" s="53"/>
      <c r="DD47" s="53"/>
      <c r="DE47" s="53"/>
      <c r="DF47" s="53"/>
      <c r="DG47" s="53"/>
      <c r="DH47" s="53"/>
      <c r="DI47" s="53"/>
      <c r="DJ47" s="53"/>
      <c r="DK47" s="53"/>
      <c r="DL47" s="53"/>
      <c r="DM47" s="53"/>
      <c r="DN47" s="53"/>
      <c r="DO47" s="53"/>
      <c r="DP47" s="53"/>
      <c r="DQ47" s="53"/>
      <c r="DR47" s="53"/>
      <c r="DS47" s="53"/>
      <c r="DT47" s="53"/>
      <c r="DU47" s="53"/>
      <c r="DV47" s="53"/>
    </row>
    <row r="48" spans="1:126" x14ac:dyDescent="0.25"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</row>
    <row r="49" spans="2:17" x14ac:dyDescent="0.25"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</row>
    <row r="50" spans="2:17" x14ac:dyDescent="0.25"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</row>
    <row r="51" spans="2:17" x14ac:dyDescent="0.25"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</row>
    <row r="52" spans="2:17" x14ac:dyDescent="0.25"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</row>
    <row r="53" spans="2:17" x14ac:dyDescent="0.25"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</row>
    <row r="54" spans="2:17" x14ac:dyDescent="0.25"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</row>
  </sheetData>
  <conditionalFormatting sqref="L38:L40 L36 I38:I40 L24:L26 F38:F40 L22 F36 I36 I24:I26 F24:F26 I22 F22:G22 F34 I34 L34 F20 I20 L20">
    <cfRule type="cellIs" dxfId="6" priority="50" operator="equal">
      <formula>"Nee"</formula>
    </cfRule>
    <cfRule type="cellIs" dxfId="5" priority="51" operator="equal">
      <formula>"Ja"</formula>
    </cfRule>
  </conditionalFormatting>
  <conditionalFormatting sqref="L38:L39 I24:I25 F24:F25">
    <cfRule type="cellIs" dxfId="4" priority="39" operator="equal">
      <formula>"N.V.T."</formula>
    </cfRule>
  </conditionalFormatting>
  <pageMargins left="0.7" right="0.7" top="0.75" bottom="0.75" header="0.3" footer="0.3"/>
  <pageSetup paperSize="9" orientation="portrait" r:id="rId1"/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4"/>
  <dimension ref="B1:V142"/>
  <sheetViews>
    <sheetView showGridLines="0" tabSelected="1" topLeftCell="A12" zoomScale="85" zoomScaleNormal="85" zoomScalePageLayoutView="80" workbookViewId="0">
      <selection activeCell="H22" sqref="H22"/>
    </sheetView>
  </sheetViews>
  <sheetFormatPr defaultColWidth="11.42578125" defaultRowHeight="15" x14ac:dyDescent="0.25"/>
  <cols>
    <col min="1" max="2" width="4.85546875" customWidth="1"/>
    <col min="3" max="3" width="51.42578125" bestFit="1" customWidth="1"/>
    <col min="4" max="4" width="4.85546875" customWidth="1"/>
    <col min="5" max="5" width="15" bestFit="1" customWidth="1"/>
    <col min="6" max="6" width="13" bestFit="1" customWidth="1"/>
    <col min="7" max="7" width="4.85546875" customWidth="1"/>
    <col min="8" max="8" width="22.140625" bestFit="1" customWidth="1"/>
    <col min="9" max="9" width="13" bestFit="1" customWidth="1"/>
    <col min="10" max="10" width="4.85546875" customWidth="1"/>
    <col min="11" max="11" width="17.85546875" bestFit="1" customWidth="1"/>
    <col min="12" max="12" width="13" bestFit="1" customWidth="1"/>
    <col min="13" max="13" width="4.85546875" customWidth="1"/>
    <col min="14" max="14" width="17.85546875" bestFit="1" customWidth="1"/>
    <col min="15" max="15" width="19.85546875" bestFit="1" customWidth="1"/>
    <col min="16" max="16" width="4.85546875" customWidth="1"/>
    <col min="17" max="17" width="17.85546875" bestFit="1" customWidth="1"/>
    <col min="18" max="18" width="13" bestFit="1" customWidth="1"/>
    <col min="19" max="19" width="4.85546875" customWidth="1"/>
    <col min="20" max="20" width="17.85546875" bestFit="1" customWidth="1"/>
    <col min="21" max="21" width="13" bestFit="1" customWidth="1"/>
  </cols>
  <sheetData>
    <row r="1" spans="2:22" ht="15.75" thickBot="1" x14ac:dyDescent="0.3"/>
    <row r="2" spans="2:22" ht="15.75" thickBot="1" x14ac:dyDescent="0.3">
      <c r="B2" s="97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3"/>
    </row>
    <row r="3" spans="2:22" x14ac:dyDescent="0.25">
      <c r="B3" s="4"/>
      <c r="C3" s="37" t="s">
        <v>18</v>
      </c>
      <c r="D3" s="78"/>
      <c r="E3" s="44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6"/>
    </row>
    <row r="4" spans="2:22" x14ac:dyDescent="0.25">
      <c r="B4" s="4"/>
      <c r="C4" s="38"/>
      <c r="D4" s="40"/>
      <c r="E4" s="41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6"/>
    </row>
    <row r="5" spans="2:22" ht="15.75" thickBot="1" x14ac:dyDescent="0.3">
      <c r="B5" s="4"/>
      <c r="C5" s="46" t="s">
        <v>55</v>
      </c>
      <c r="D5" s="79"/>
      <c r="E5" s="41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6"/>
    </row>
    <row r="6" spans="2:22" x14ac:dyDescent="0.25">
      <c r="B6" s="4"/>
      <c r="C6" s="38" t="s">
        <v>0</v>
      </c>
      <c r="D6" s="40"/>
      <c r="E6" s="149">
        <v>50</v>
      </c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6"/>
    </row>
    <row r="7" spans="2:22" ht="15.75" thickBot="1" x14ac:dyDescent="0.3">
      <c r="B7" s="4"/>
      <c r="C7" s="38" t="s">
        <v>1</v>
      </c>
      <c r="D7" s="40"/>
      <c r="E7" s="150">
        <v>30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6"/>
    </row>
    <row r="8" spans="2:22" ht="18.75" x14ac:dyDescent="0.3">
      <c r="B8" s="4"/>
      <c r="C8" s="38" t="s">
        <v>2</v>
      </c>
      <c r="D8" s="40"/>
      <c r="E8" s="150">
        <v>20</v>
      </c>
      <c r="F8" s="5"/>
      <c r="G8" s="5"/>
      <c r="H8" s="5"/>
      <c r="I8" s="5"/>
      <c r="J8" s="5"/>
      <c r="K8" s="5"/>
      <c r="L8" s="5"/>
      <c r="M8" s="5"/>
      <c r="N8" s="87" t="s">
        <v>88</v>
      </c>
      <c r="O8" s="2"/>
      <c r="P8" s="2"/>
      <c r="Q8" s="3"/>
      <c r="R8" s="5"/>
      <c r="S8" s="5"/>
      <c r="T8" s="5"/>
      <c r="U8" s="5"/>
      <c r="V8" s="6"/>
    </row>
    <row r="9" spans="2:22" ht="18.75" x14ac:dyDescent="0.3">
      <c r="B9" s="4"/>
      <c r="C9" s="51" t="s">
        <v>3</v>
      </c>
      <c r="D9" s="80"/>
      <c r="E9" s="150">
        <v>10</v>
      </c>
      <c r="F9" s="5"/>
      <c r="G9" s="5"/>
      <c r="H9" s="5"/>
      <c r="I9" s="5"/>
      <c r="J9" s="5"/>
      <c r="K9" s="5"/>
      <c r="L9" s="5"/>
      <c r="M9" s="5"/>
      <c r="N9" s="130"/>
      <c r="O9" s="90" t="s">
        <v>89</v>
      </c>
      <c r="P9" s="5"/>
      <c r="Q9" s="6"/>
      <c r="R9" s="5"/>
      <c r="S9" s="5"/>
      <c r="T9" s="5"/>
      <c r="U9" s="5"/>
      <c r="V9" s="6"/>
    </row>
    <row r="10" spans="2:22" x14ac:dyDescent="0.25">
      <c r="B10" s="4"/>
      <c r="C10" s="38"/>
      <c r="D10" s="40"/>
      <c r="E10" s="151"/>
      <c r="F10" s="116"/>
      <c r="G10" s="5"/>
      <c r="H10" s="5"/>
      <c r="I10" s="5"/>
      <c r="J10" s="5"/>
      <c r="K10" s="5"/>
      <c r="L10" s="126" t="s">
        <v>101</v>
      </c>
      <c r="M10" s="5"/>
      <c r="N10" s="4"/>
      <c r="O10" s="5"/>
      <c r="P10" s="5"/>
      <c r="Q10" s="6"/>
      <c r="R10" s="5"/>
      <c r="S10" s="5"/>
      <c r="T10" s="5"/>
      <c r="U10" s="5"/>
      <c r="V10" s="6"/>
    </row>
    <row r="11" spans="2:22" ht="18.75" x14ac:dyDescent="0.3">
      <c r="B11" s="4"/>
      <c r="C11" s="46" t="s">
        <v>87</v>
      </c>
      <c r="D11" s="79"/>
      <c r="E11" s="152">
        <v>1</v>
      </c>
      <c r="F11" s="5"/>
      <c r="G11" s="5"/>
      <c r="H11" s="5"/>
      <c r="I11" s="5"/>
      <c r="J11" s="5"/>
      <c r="K11" s="5"/>
      <c r="L11" s="126" t="s">
        <v>94</v>
      </c>
      <c r="M11" s="5"/>
      <c r="N11" s="158"/>
      <c r="O11" s="90" t="s">
        <v>90</v>
      </c>
      <c r="P11" s="5"/>
      <c r="Q11" s="6"/>
      <c r="R11" s="5"/>
      <c r="S11" s="5"/>
      <c r="T11" s="5"/>
      <c r="U11" s="5"/>
      <c r="V11" s="6"/>
    </row>
    <row r="12" spans="2:22" ht="15.75" thickBot="1" x14ac:dyDescent="0.3">
      <c r="B12" s="4"/>
      <c r="C12" s="46" t="s">
        <v>56</v>
      </c>
      <c r="D12" s="79"/>
      <c r="E12" s="152">
        <v>10</v>
      </c>
      <c r="F12" s="5"/>
      <c r="G12" s="5"/>
      <c r="H12" s="5"/>
      <c r="I12" s="5"/>
      <c r="J12" s="5"/>
      <c r="K12" s="5"/>
      <c r="L12" s="5"/>
      <c r="M12" s="5"/>
      <c r="N12" s="4"/>
      <c r="O12" s="5"/>
      <c r="P12" s="5"/>
      <c r="Q12" s="6"/>
      <c r="R12" s="5"/>
      <c r="S12" s="5"/>
      <c r="T12" s="5"/>
      <c r="U12" s="5"/>
      <c r="V12" s="6"/>
    </row>
    <row r="13" spans="2:22" ht="15.75" thickBot="1" x14ac:dyDescent="0.3">
      <c r="B13" s="4"/>
      <c r="C13" s="46"/>
      <c r="D13" s="79"/>
      <c r="E13" s="152"/>
      <c r="F13" s="5"/>
      <c r="G13" s="5"/>
      <c r="H13" s="55" t="s">
        <v>50</v>
      </c>
      <c r="I13" s="155">
        <v>8</v>
      </c>
      <c r="J13" s="5"/>
      <c r="K13" s="5"/>
      <c r="L13" s="5"/>
      <c r="M13" s="5"/>
      <c r="N13" s="8"/>
      <c r="O13" s="9"/>
      <c r="P13" s="9"/>
      <c r="Q13" s="10"/>
      <c r="R13" s="5"/>
      <c r="S13" s="5"/>
      <c r="T13" s="5"/>
      <c r="U13" s="5"/>
      <c r="V13" s="6"/>
    </row>
    <row r="14" spans="2:22" x14ac:dyDescent="0.25">
      <c r="B14" s="4"/>
      <c r="C14" s="46" t="s">
        <v>105</v>
      </c>
      <c r="D14" s="79"/>
      <c r="E14" s="153" t="s">
        <v>94</v>
      </c>
      <c r="F14" s="5"/>
      <c r="G14" s="5"/>
      <c r="H14" s="38" t="s">
        <v>75</v>
      </c>
      <c r="I14" s="151">
        <v>5</v>
      </c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6"/>
    </row>
    <row r="15" spans="2:22" x14ac:dyDescent="0.25">
      <c r="B15" s="4"/>
      <c r="C15" s="46" t="s">
        <v>70</v>
      </c>
      <c r="D15" s="79"/>
      <c r="E15" s="152">
        <v>20</v>
      </c>
      <c r="F15" s="5"/>
      <c r="G15" s="5"/>
      <c r="H15" s="38" t="s">
        <v>76</v>
      </c>
      <c r="I15" s="151">
        <v>45</v>
      </c>
      <c r="J15" s="116"/>
      <c r="K15" s="5"/>
      <c r="L15" s="5"/>
      <c r="M15" s="116"/>
      <c r="N15" s="5"/>
      <c r="O15" s="5"/>
      <c r="P15" s="5"/>
      <c r="Q15" s="5"/>
      <c r="R15" s="5"/>
      <c r="S15" s="5"/>
      <c r="T15" s="5"/>
      <c r="U15" s="5"/>
      <c r="V15" s="6"/>
    </row>
    <row r="16" spans="2:22" ht="15.75" thickBot="1" x14ac:dyDescent="0.3">
      <c r="B16" s="4"/>
      <c r="C16" s="52" t="s">
        <v>79</v>
      </c>
      <c r="D16" s="81"/>
      <c r="E16" s="154">
        <v>4</v>
      </c>
      <c r="F16" s="5"/>
      <c r="G16" s="5"/>
      <c r="H16" s="39" t="s">
        <v>45</v>
      </c>
      <c r="I16" s="154">
        <v>18</v>
      </c>
      <c r="J16" s="116"/>
      <c r="K16" s="5"/>
      <c r="L16" s="5"/>
      <c r="M16" s="116"/>
      <c r="N16" s="5"/>
      <c r="O16" s="5"/>
      <c r="P16" s="5"/>
      <c r="Q16" s="5"/>
      <c r="R16" s="5"/>
      <c r="S16" s="5"/>
      <c r="T16" s="5"/>
      <c r="U16" s="5"/>
      <c r="V16" s="6"/>
    </row>
    <row r="17" spans="2:22" s="147" customFormat="1" ht="15.75" thickBot="1" x14ac:dyDescent="0.3">
      <c r="B17" s="143"/>
      <c r="C17" s="144"/>
      <c r="D17" s="144"/>
      <c r="E17" s="145"/>
      <c r="F17" s="145"/>
      <c r="G17" s="145"/>
      <c r="H17" s="145"/>
      <c r="I17" s="145"/>
      <c r="J17" s="145"/>
      <c r="K17" s="145"/>
      <c r="L17" s="145"/>
      <c r="M17" s="145"/>
      <c r="N17" s="145"/>
      <c r="O17" s="145"/>
      <c r="P17" s="145"/>
      <c r="Q17" s="145"/>
      <c r="R17" s="145"/>
      <c r="S17" s="145"/>
      <c r="T17" s="145"/>
      <c r="U17" s="145"/>
      <c r="V17" s="146"/>
    </row>
    <row r="18" spans="2:22" ht="15.75" thickBot="1" x14ac:dyDescent="0.3">
      <c r="B18" s="4"/>
      <c r="C18" s="5"/>
      <c r="D18" s="5"/>
      <c r="E18" s="148" t="s">
        <v>104</v>
      </c>
      <c r="F18" s="5"/>
      <c r="G18" s="5"/>
      <c r="H18" s="148" t="s">
        <v>5</v>
      </c>
      <c r="I18" s="5"/>
      <c r="J18" s="116"/>
      <c r="K18" s="148" t="s">
        <v>43</v>
      </c>
      <c r="L18" s="5"/>
      <c r="M18" s="122"/>
      <c r="N18" s="148" t="s">
        <v>44</v>
      </c>
      <c r="O18" s="5"/>
      <c r="P18" s="5"/>
      <c r="Q18" s="148" t="s">
        <v>40</v>
      </c>
      <c r="R18" s="5"/>
      <c r="S18" s="5"/>
      <c r="T18" s="148" t="s">
        <v>17</v>
      </c>
      <c r="U18" s="5"/>
      <c r="V18" s="6"/>
    </row>
    <row r="19" spans="2:22" x14ac:dyDescent="0.25">
      <c r="B19" s="4"/>
      <c r="C19" s="57" t="s">
        <v>24</v>
      </c>
      <c r="D19" s="115"/>
      <c r="E19" s="55"/>
      <c r="F19" s="44"/>
      <c r="G19" s="116"/>
      <c r="H19" s="55"/>
      <c r="I19" s="44"/>
      <c r="J19" s="117"/>
      <c r="K19" s="55"/>
      <c r="L19" s="44"/>
      <c r="M19" s="117"/>
      <c r="N19" s="55"/>
      <c r="O19" s="44"/>
      <c r="P19" s="116"/>
      <c r="Q19" s="55"/>
      <c r="R19" s="44"/>
      <c r="S19" s="116"/>
      <c r="T19" s="55"/>
      <c r="U19" s="44"/>
      <c r="V19" s="6"/>
    </row>
    <row r="20" spans="2:22" x14ac:dyDescent="0.25">
      <c r="B20" s="4"/>
      <c r="C20" s="58"/>
      <c r="D20" s="116"/>
      <c r="E20" s="38"/>
      <c r="F20" s="41"/>
      <c r="G20" s="116"/>
      <c r="H20" s="38"/>
      <c r="I20" s="41"/>
      <c r="J20" s="117"/>
      <c r="K20" s="38"/>
      <c r="L20" s="41"/>
      <c r="M20" s="117"/>
      <c r="N20" s="38"/>
      <c r="O20" s="41"/>
      <c r="P20" s="116"/>
      <c r="Q20" s="38"/>
      <c r="R20" s="41"/>
      <c r="S20" s="116"/>
      <c r="T20" s="38"/>
      <c r="U20" s="41"/>
      <c r="V20" s="6"/>
    </row>
    <row r="21" spans="2:22" x14ac:dyDescent="0.25">
      <c r="B21" s="4"/>
      <c r="C21" s="58" t="s">
        <v>25</v>
      </c>
      <c r="D21" s="116"/>
      <c r="E21" s="61">
        <v>3690</v>
      </c>
      <c r="F21" s="41"/>
      <c r="G21" s="116"/>
      <c r="H21" s="61">
        <v>12000</v>
      </c>
      <c r="I21" s="41"/>
      <c r="J21" s="118"/>
      <c r="K21" s="73">
        <v>25000</v>
      </c>
      <c r="L21" s="71"/>
      <c r="M21" s="118"/>
      <c r="N21" s="73">
        <v>27500</v>
      </c>
      <c r="O21" s="41"/>
      <c r="P21" s="116"/>
      <c r="Q21" s="61">
        <v>31544</v>
      </c>
      <c r="R21" s="41"/>
      <c r="S21" s="116"/>
      <c r="T21" s="61">
        <v>20500</v>
      </c>
      <c r="U21" s="41"/>
      <c r="V21" s="6"/>
    </row>
    <row r="22" spans="2:22" x14ac:dyDescent="0.25">
      <c r="B22" s="4"/>
      <c r="C22" s="58" t="s">
        <v>26</v>
      </c>
      <c r="D22" s="116"/>
      <c r="E22" s="61">
        <v>100</v>
      </c>
      <c r="F22" s="42"/>
      <c r="G22" s="117"/>
      <c r="H22" s="61">
        <v>100</v>
      </c>
      <c r="I22" s="42"/>
      <c r="J22" s="116"/>
      <c r="K22" s="61">
        <v>250</v>
      </c>
      <c r="L22" s="42"/>
      <c r="M22" s="123"/>
      <c r="N22" s="61">
        <v>250</v>
      </c>
      <c r="O22" s="42"/>
      <c r="P22" s="117"/>
      <c r="Q22" s="61">
        <v>400</v>
      </c>
      <c r="R22" s="41"/>
      <c r="S22" s="116"/>
      <c r="T22" s="61">
        <v>500</v>
      </c>
      <c r="U22" s="41"/>
      <c r="V22" s="6"/>
    </row>
    <row r="23" spans="2:22" ht="15.75" thickBot="1" x14ac:dyDescent="0.3">
      <c r="B23" s="4"/>
      <c r="C23" s="58" t="s">
        <v>27</v>
      </c>
      <c r="D23" s="116"/>
      <c r="E23" s="61">
        <v>100</v>
      </c>
      <c r="F23" s="42"/>
      <c r="G23" s="117"/>
      <c r="H23" s="61">
        <v>100</v>
      </c>
      <c r="I23" s="42"/>
      <c r="J23" s="116"/>
      <c r="K23" s="61">
        <v>828.16</v>
      </c>
      <c r="L23" s="42"/>
      <c r="M23" s="124"/>
      <c r="N23" s="61">
        <v>828.16</v>
      </c>
      <c r="O23" s="42"/>
      <c r="P23" s="117"/>
      <c r="Q23" s="61">
        <v>1098.2</v>
      </c>
      <c r="R23" s="41"/>
      <c r="S23" s="116"/>
      <c r="T23" s="61">
        <v>970</v>
      </c>
      <c r="U23" s="41"/>
      <c r="V23" s="6"/>
    </row>
    <row r="24" spans="2:22" ht="15.75" thickBot="1" x14ac:dyDescent="0.3">
      <c r="B24" s="4"/>
      <c r="C24" s="58" t="s">
        <v>108</v>
      </c>
      <c r="D24" s="116"/>
      <c r="E24" s="166">
        <v>0</v>
      </c>
      <c r="F24" s="167"/>
      <c r="G24" s="117"/>
      <c r="H24" s="166">
        <v>0</v>
      </c>
      <c r="I24" s="167"/>
      <c r="J24" s="116"/>
      <c r="K24" s="166">
        <v>5</v>
      </c>
      <c r="L24" s="168"/>
      <c r="M24" s="124"/>
      <c r="N24" s="166">
        <v>5</v>
      </c>
      <c r="O24" s="168"/>
      <c r="P24" s="117"/>
      <c r="Q24" s="166">
        <v>5</v>
      </c>
      <c r="R24" s="168"/>
      <c r="S24" s="116"/>
      <c r="T24" s="166">
        <v>5</v>
      </c>
      <c r="U24" s="169"/>
      <c r="V24" s="6"/>
    </row>
    <row r="25" spans="2:22" x14ac:dyDescent="0.25">
      <c r="B25" s="4"/>
      <c r="C25" s="58"/>
      <c r="D25" s="116"/>
      <c r="E25" s="61"/>
      <c r="F25" s="63"/>
      <c r="G25" s="117"/>
      <c r="H25" s="61"/>
      <c r="I25" s="63"/>
      <c r="J25" s="116"/>
      <c r="K25" s="62"/>
      <c r="L25" s="63"/>
      <c r="M25" s="124"/>
      <c r="N25" s="62"/>
      <c r="O25" s="63"/>
      <c r="P25" s="117"/>
      <c r="Q25" s="62"/>
      <c r="R25" s="41"/>
      <c r="S25" s="116"/>
      <c r="T25" s="62"/>
      <c r="U25" s="41"/>
      <c r="V25" s="6"/>
    </row>
    <row r="26" spans="2:22" x14ac:dyDescent="0.25">
      <c r="B26" s="4"/>
      <c r="C26" s="58"/>
      <c r="D26" s="116"/>
      <c r="E26" s="61"/>
      <c r="F26" s="41"/>
      <c r="G26" s="116"/>
      <c r="H26" s="61"/>
      <c r="I26" s="41"/>
      <c r="J26" s="116"/>
      <c r="K26" s="69" t="s">
        <v>54</v>
      </c>
      <c r="L26" s="47"/>
      <c r="M26" s="123"/>
      <c r="N26" s="69" t="s">
        <v>54</v>
      </c>
      <c r="O26" s="47"/>
      <c r="P26" s="123"/>
      <c r="Q26" s="69" t="s">
        <v>54</v>
      </c>
      <c r="R26" s="41"/>
      <c r="S26" s="116"/>
      <c r="T26" s="69" t="s">
        <v>54</v>
      </c>
      <c r="U26" s="41"/>
      <c r="V26" s="6"/>
    </row>
    <row r="27" spans="2:22" x14ac:dyDescent="0.25">
      <c r="B27" s="4"/>
      <c r="C27" s="58" t="s">
        <v>32</v>
      </c>
      <c r="D27" s="116"/>
      <c r="E27" s="61">
        <f>VLOOKUP(Invulveld!$I$16, 'Test afmetingen en gewicht'!$G$31:$J$39,4,FALSE)</f>
        <v>7218</v>
      </c>
      <c r="F27" s="41"/>
      <c r="G27" s="116"/>
      <c r="H27" s="61">
        <f>VLOOKUP(Invulveld!$I$16, 'Test afmetingen en gewicht'!$G$31:$J$39,4,FALSE)</f>
        <v>7218</v>
      </c>
      <c r="I27" s="41"/>
      <c r="J27" s="116"/>
      <c r="K27" s="82">
        <f>IF(Invulveld!$I$16&lt;18, 'Test afmetingen en gewicht'!$J$34,VLOOKUP(Invulveld!$I$16,'Test afmetingen en gewicht'!$G$31:$J$39,4,FALSE))</f>
        <v>7218</v>
      </c>
      <c r="L27" s="72"/>
      <c r="M27" s="116"/>
      <c r="N27" s="61">
        <f>IF(Invulveld!$I$16&lt;18, 'Test afmetingen en gewicht'!$J$34,VLOOKUP(Invulveld!$I$16,'Test afmetingen en gewicht'!$G$31:$J$39,4,FALSE))</f>
        <v>7218</v>
      </c>
      <c r="O27" s="72"/>
      <c r="P27" s="124"/>
      <c r="Q27" s="61">
        <f>IF(Invulveld!$I$16&lt;18, 'Test afmetingen en gewicht'!$J$34,VLOOKUP(Invulveld!$I$16,'Test afmetingen en gewicht'!$G$31:$J$39,4,FALSE))</f>
        <v>7218</v>
      </c>
      <c r="R27" s="41"/>
      <c r="S27" s="116"/>
      <c r="T27" s="61">
        <f>IF(Invulveld!$I$16&lt;18, 'Test afmetingen en gewicht'!$J$34,VLOOKUP(Invulveld!$I$16,'Test afmetingen en gewicht'!$G$31:$J$39,4,FALSE))</f>
        <v>7218</v>
      </c>
      <c r="U27" s="41"/>
      <c r="V27" s="6"/>
    </row>
    <row r="28" spans="2:22" x14ac:dyDescent="0.25">
      <c r="B28" s="4"/>
      <c r="C28" s="58"/>
      <c r="D28" s="116"/>
      <c r="E28" s="61"/>
      <c r="F28" s="41"/>
      <c r="G28" s="116"/>
      <c r="H28" s="61"/>
      <c r="I28" s="41"/>
      <c r="J28" s="116"/>
      <c r="K28" s="69"/>
      <c r="L28" s="47"/>
      <c r="M28" s="116"/>
      <c r="N28" s="69"/>
      <c r="O28" s="47"/>
      <c r="P28" s="123"/>
      <c r="Q28" s="69"/>
      <c r="R28" s="41"/>
      <c r="S28" s="116"/>
      <c r="T28" s="69"/>
      <c r="U28" s="41"/>
      <c r="V28" s="6"/>
    </row>
    <row r="29" spans="2:22" ht="15.75" thickBot="1" x14ac:dyDescent="0.3">
      <c r="B29" s="4"/>
      <c r="C29" s="59" t="s">
        <v>34</v>
      </c>
      <c r="D29" s="116"/>
      <c r="E29" s="64">
        <v>0</v>
      </c>
      <c r="F29" s="43"/>
      <c r="G29" s="116"/>
      <c r="H29" s="64">
        <v>0</v>
      </c>
      <c r="I29" s="43"/>
      <c r="J29" s="116"/>
      <c r="K29" s="74">
        <v>0</v>
      </c>
      <c r="L29" s="77"/>
      <c r="M29" s="116"/>
      <c r="N29" s="74">
        <v>0</v>
      </c>
      <c r="O29" s="77"/>
      <c r="P29" s="123"/>
      <c r="Q29" s="74">
        <v>0</v>
      </c>
      <c r="R29" s="43"/>
      <c r="S29" s="116"/>
      <c r="T29" s="74">
        <f>169*4</f>
        <v>676</v>
      </c>
      <c r="U29" s="43"/>
      <c r="V29" s="6"/>
    </row>
    <row r="30" spans="2:22" x14ac:dyDescent="0.25">
      <c r="B30" s="4"/>
      <c r="C30" s="5"/>
      <c r="D30" s="116"/>
      <c r="E30" s="17"/>
      <c r="F30" s="5"/>
      <c r="G30" s="5"/>
      <c r="H30" s="17"/>
      <c r="I30" s="5"/>
      <c r="J30" s="116"/>
      <c r="K30" s="17"/>
      <c r="L30" s="5"/>
      <c r="M30" s="116"/>
      <c r="N30" s="5"/>
      <c r="O30" s="5"/>
      <c r="P30" s="116"/>
      <c r="Q30" s="5"/>
      <c r="R30" s="5"/>
      <c r="S30" s="116"/>
      <c r="T30" s="5"/>
      <c r="U30" s="5"/>
      <c r="V30" s="6"/>
    </row>
    <row r="31" spans="2:22" ht="15.75" thickBot="1" x14ac:dyDescent="0.3">
      <c r="B31" s="4"/>
      <c r="C31" s="5"/>
      <c r="D31" s="116"/>
      <c r="E31" s="5"/>
      <c r="F31" s="5"/>
      <c r="G31" s="5"/>
      <c r="H31" s="5"/>
      <c r="I31" s="5"/>
      <c r="J31" s="116"/>
      <c r="K31" s="5"/>
      <c r="L31" s="5"/>
      <c r="M31" s="116"/>
      <c r="N31" s="5"/>
      <c r="O31" s="5"/>
      <c r="P31" s="116"/>
      <c r="Q31" s="5"/>
      <c r="R31" s="5"/>
      <c r="S31" s="116"/>
      <c r="T31" s="5"/>
      <c r="U31" s="5"/>
      <c r="V31" s="6"/>
    </row>
    <row r="32" spans="2:22" x14ac:dyDescent="0.25">
      <c r="B32" s="4"/>
      <c r="C32" s="57" t="s">
        <v>35</v>
      </c>
      <c r="D32" s="115"/>
      <c r="E32" s="55"/>
      <c r="F32" s="44"/>
      <c r="G32" s="116"/>
      <c r="H32" s="55"/>
      <c r="I32" s="44"/>
      <c r="J32" s="116"/>
      <c r="K32" s="55"/>
      <c r="L32" s="44"/>
      <c r="M32" s="116"/>
      <c r="N32" s="55"/>
      <c r="O32" s="44"/>
      <c r="P32" s="116"/>
      <c r="Q32" s="55"/>
      <c r="R32" s="44"/>
      <c r="S32" s="116"/>
      <c r="T32" s="55"/>
      <c r="U32" s="44"/>
      <c r="V32" s="6"/>
    </row>
    <row r="33" spans="2:22" x14ac:dyDescent="0.25">
      <c r="B33" s="4"/>
      <c r="C33" s="60"/>
      <c r="D33" s="115"/>
      <c r="E33" s="38"/>
      <c r="F33" s="41"/>
      <c r="G33" s="116"/>
      <c r="H33" s="38"/>
      <c r="I33" s="41"/>
      <c r="J33" s="116"/>
      <c r="K33" s="38"/>
      <c r="L33" s="41"/>
      <c r="M33" s="116"/>
      <c r="N33" s="38"/>
      <c r="O33" s="41"/>
      <c r="P33" s="116"/>
      <c r="Q33" s="38"/>
      <c r="R33" s="41"/>
      <c r="S33" s="116"/>
      <c r="T33" s="38"/>
      <c r="U33" s="41"/>
      <c r="V33" s="6"/>
    </row>
    <row r="34" spans="2:22" x14ac:dyDescent="0.25">
      <c r="B34" s="4"/>
      <c r="C34" s="58" t="s">
        <v>57</v>
      </c>
      <c r="D34" s="116"/>
      <c r="E34" s="65">
        <f>ROUNDUP(Invulveld!$E$11/'Test afmetingen en gewicht'!$C$9,0)</f>
        <v>4</v>
      </c>
      <c r="F34" s="47" t="s">
        <v>65</v>
      </c>
      <c r="G34" s="116"/>
      <c r="H34" s="65">
        <f>ROUNDUP(Invulveld!$E$11/'Test afmetingen en gewicht'!$C$22,0)</f>
        <v>1</v>
      </c>
      <c r="I34" s="47" t="s">
        <v>65</v>
      </c>
      <c r="J34" s="116"/>
      <c r="K34" s="38">
        <f>ROUNDUP(Invulveld!$E$11/'Test afmetingen en gewicht'!$U$9,0)</f>
        <v>1</v>
      </c>
      <c r="L34" s="47" t="s">
        <v>65</v>
      </c>
      <c r="M34" s="116"/>
      <c r="N34" s="38">
        <f>ROUNDUP(Invulveld!$E$11/'Test afmetingen en gewicht'!$U$22,0)</f>
        <v>1</v>
      </c>
      <c r="O34" s="47" t="s">
        <v>65</v>
      </c>
      <c r="P34" s="116"/>
      <c r="Q34" s="38">
        <f>ROUNDUP(Invulveld!$E$11/'Test afmetingen en gewicht'!$L$22,0)</f>
        <v>1</v>
      </c>
      <c r="R34" s="47" t="s">
        <v>65</v>
      </c>
      <c r="S34" s="116"/>
      <c r="T34" s="38">
        <f>ROUNDUP(Invulveld!$E$11/'Test afmetingen en gewicht'!$L$9,0)</f>
        <v>1</v>
      </c>
      <c r="U34" s="47" t="s">
        <v>65</v>
      </c>
      <c r="V34" s="6"/>
    </row>
    <row r="35" spans="2:22" ht="15.75" thickBot="1" x14ac:dyDescent="0.3">
      <c r="B35" s="4"/>
      <c r="C35" s="58" t="s">
        <v>62</v>
      </c>
      <c r="D35" s="116"/>
      <c r="E35" s="66">
        <f>ROUNDUP(((Invulveld!$E$15/E46)*60),0)</f>
        <v>120</v>
      </c>
      <c r="F35" s="47" t="s">
        <v>64</v>
      </c>
      <c r="G35" s="116"/>
      <c r="H35" s="66">
        <f>ROUNDUP(((Invulveld!$E$15/H46)*60),0)</f>
        <v>120</v>
      </c>
      <c r="I35" s="47" t="s">
        <v>64</v>
      </c>
      <c r="J35" s="116"/>
      <c r="K35" s="66">
        <f>ROUNDUP(((Invulveld!$E$15/K46)*60),0)</f>
        <v>80</v>
      </c>
      <c r="L35" s="47" t="s">
        <v>64</v>
      </c>
      <c r="M35" s="116"/>
      <c r="N35" s="66">
        <f>ROUNDUP(((Invulveld!$E$15/N46)*60),0)</f>
        <v>80</v>
      </c>
      <c r="O35" s="47" t="s">
        <v>64</v>
      </c>
      <c r="P35" s="116"/>
      <c r="Q35" s="66">
        <f>ROUNDUP(((Invulveld!$E$15/Q46)*60),0)</f>
        <v>80</v>
      </c>
      <c r="R35" s="47" t="s">
        <v>64</v>
      </c>
      <c r="S35" s="116"/>
      <c r="T35" s="66">
        <f>ROUNDUP(((Invulveld!$E$15/T46)*60),0)</f>
        <v>80</v>
      </c>
      <c r="U35" s="47" t="s">
        <v>64</v>
      </c>
      <c r="V35" s="6"/>
    </row>
    <row r="36" spans="2:22" ht="15.75" thickBot="1" x14ac:dyDescent="0.3">
      <c r="B36" s="4"/>
      <c r="C36" s="58" t="s">
        <v>102</v>
      </c>
      <c r="D36" s="116"/>
      <c r="E36" s="156">
        <v>7</v>
      </c>
      <c r="F36" s="157" t="s">
        <v>64</v>
      </c>
      <c r="G36" s="116"/>
      <c r="H36" s="156">
        <v>7</v>
      </c>
      <c r="I36" s="157" t="s">
        <v>64</v>
      </c>
      <c r="J36" s="116"/>
      <c r="K36" s="156">
        <v>12</v>
      </c>
      <c r="L36" s="157" t="s">
        <v>64</v>
      </c>
      <c r="M36" s="116"/>
      <c r="N36" s="156">
        <v>12</v>
      </c>
      <c r="O36" s="157" t="s">
        <v>64</v>
      </c>
      <c r="P36" s="116"/>
      <c r="Q36" s="156">
        <v>12</v>
      </c>
      <c r="R36" s="157" t="s">
        <v>64</v>
      </c>
      <c r="S36" s="116"/>
      <c r="T36" s="156">
        <v>12</v>
      </c>
      <c r="U36" s="157" t="s">
        <v>64</v>
      </c>
      <c r="V36" s="6"/>
    </row>
    <row r="37" spans="2:22" x14ac:dyDescent="0.25">
      <c r="B37" s="4"/>
      <c r="C37" s="58" t="s">
        <v>63</v>
      </c>
      <c r="D37" s="116"/>
      <c r="E37" s="68">
        <f>Invulveld!$E$12*E36</f>
        <v>70</v>
      </c>
      <c r="F37" s="47" t="s">
        <v>64</v>
      </c>
      <c r="G37" s="116"/>
      <c r="H37" s="68">
        <f>Invulveld!$E$12*H36</f>
        <v>70</v>
      </c>
      <c r="I37" s="47" t="s">
        <v>64</v>
      </c>
      <c r="J37" s="116"/>
      <c r="K37" s="68">
        <f>Invulveld!$E$12*K36</f>
        <v>120</v>
      </c>
      <c r="L37" s="47" t="s">
        <v>64</v>
      </c>
      <c r="M37" s="116"/>
      <c r="N37" s="68">
        <f>Invulveld!$E$12*N36</f>
        <v>120</v>
      </c>
      <c r="O37" s="47" t="s">
        <v>64</v>
      </c>
      <c r="P37" s="116"/>
      <c r="Q37" s="68">
        <f>Invulveld!$E$12*Q36</f>
        <v>120</v>
      </c>
      <c r="R37" s="47" t="s">
        <v>64</v>
      </c>
      <c r="S37" s="116"/>
      <c r="T37" s="68">
        <f>Invulveld!$E$12*T36</f>
        <v>120</v>
      </c>
      <c r="U37" s="47" t="s">
        <v>64</v>
      </c>
      <c r="V37" s="6"/>
    </row>
    <row r="38" spans="2:22" x14ac:dyDescent="0.25">
      <c r="B38" s="4"/>
      <c r="C38" s="58" t="s">
        <v>61</v>
      </c>
      <c r="D38" s="116"/>
      <c r="E38" s="38">
        <f>SUM(E35,E37)</f>
        <v>190</v>
      </c>
      <c r="F38" s="47" t="s">
        <v>64</v>
      </c>
      <c r="G38" s="116"/>
      <c r="H38" s="38">
        <f>SUM(H35,H37)</f>
        <v>190</v>
      </c>
      <c r="I38" s="47" t="s">
        <v>64</v>
      </c>
      <c r="J38" s="116"/>
      <c r="K38" s="38">
        <f>SUM(K35,K37)</f>
        <v>200</v>
      </c>
      <c r="L38" s="47" t="s">
        <v>64</v>
      </c>
      <c r="M38" s="116"/>
      <c r="N38" s="38">
        <f>SUM(N35,N37)</f>
        <v>200</v>
      </c>
      <c r="O38" s="47" t="s">
        <v>64</v>
      </c>
      <c r="P38" s="116"/>
      <c r="Q38" s="38">
        <f>SUM(Q35,Q37)</f>
        <v>200</v>
      </c>
      <c r="R38" s="47" t="s">
        <v>64</v>
      </c>
      <c r="S38" s="116"/>
      <c r="T38" s="38">
        <f>SUM(T35,T37)</f>
        <v>200</v>
      </c>
      <c r="U38" s="47" t="s">
        <v>64</v>
      </c>
      <c r="V38" s="6"/>
    </row>
    <row r="39" spans="2:22" x14ac:dyDescent="0.25">
      <c r="B39" s="4"/>
      <c r="C39" s="58"/>
      <c r="D39" s="116"/>
      <c r="E39" s="67"/>
      <c r="F39" s="47"/>
      <c r="G39" s="116"/>
      <c r="H39" s="38"/>
      <c r="I39" s="47"/>
      <c r="J39" s="116"/>
      <c r="K39" s="38"/>
      <c r="L39" s="47"/>
      <c r="M39" s="116"/>
      <c r="N39" s="38"/>
      <c r="O39" s="47"/>
      <c r="P39" s="116"/>
      <c r="Q39" s="38"/>
      <c r="R39" s="47"/>
      <c r="S39" s="116"/>
      <c r="T39" s="38"/>
      <c r="U39" s="47"/>
      <c r="V39" s="6"/>
    </row>
    <row r="40" spans="2:22" x14ac:dyDescent="0.25">
      <c r="B40" s="4"/>
      <c r="C40" s="58" t="s">
        <v>59</v>
      </c>
      <c r="D40" s="116"/>
      <c r="E40" s="67">
        <f>ROUNDDOWN(480/E38,0)</f>
        <v>2</v>
      </c>
      <c r="F40" s="47" t="s">
        <v>65</v>
      </c>
      <c r="G40" s="116"/>
      <c r="H40" s="38">
        <f>ROUNDDOWN(480/H38,0)</f>
        <v>2</v>
      </c>
      <c r="I40" s="47" t="s">
        <v>65</v>
      </c>
      <c r="J40" s="116"/>
      <c r="K40" s="38">
        <f>ROUNDDOWN(480/K38,0)</f>
        <v>2</v>
      </c>
      <c r="L40" s="47" t="s">
        <v>65</v>
      </c>
      <c r="M40" s="116"/>
      <c r="N40" s="38">
        <f>ROUNDDOWN(480/N38,0)</f>
        <v>2</v>
      </c>
      <c r="O40" s="47" t="s">
        <v>65</v>
      </c>
      <c r="P40" s="116"/>
      <c r="Q40" s="38">
        <f>ROUNDDOWN(480/Q38,0)</f>
        <v>2</v>
      </c>
      <c r="R40" s="47" t="s">
        <v>65</v>
      </c>
      <c r="S40" s="116"/>
      <c r="T40" s="38">
        <f>ROUNDDOWN(480/T38,0)</f>
        <v>2</v>
      </c>
      <c r="U40" s="47" t="s">
        <v>65</v>
      </c>
      <c r="V40" s="6"/>
    </row>
    <row r="41" spans="2:22" x14ac:dyDescent="0.25">
      <c r="B41" s="4"/>
      <c r="C41" s="58" t="s">
        <v>66</v>
      </c>
      <c r="D41" s="116"/>
      <c r="E41" s="67">
        <f>IF(E40*Invulveld!E15&lt;'Test afmetingen en gewicht'!C39,E40,ROUNDDOWN('Test afmetingen en gewicht'!$C$39/Invulveld!E15,0))</f>
        <v>2</v>
      </c>
      <c r="F41" s="47" t="s">
        <v>65</v>
      </c>
      <c r="G41" s="116"/>
      <c r="H41" s="67">
        <f>IF(H40*Invulveld!$E$15&lt;'Test afmetingen en gewicht'!$C$40,H40,ROUNDDOWN('Test afmetingen en gewicht'!$C$40/Invulveld!$E$15,0))</f>
        <v>1</v>
      </c>
      <c r="I41" s="47" t="s">
        <v>65</v>
      </c>
      <c r="J41" s="116"/>
      <c r="K41" s="67">
        <f>IF(K40*Invulveld!$E$15&lt;'Test afmetingen en gewicht'!$C$41,K40,ROUNDDOWN('Test afmetingen en gewicht'!$C$41/Invulveld!$E$15,0))</f>
        <v>2</v>
      </c>
      <c r="L41" s="47" t="s">
        <v>65</v>
      </c>
      <c r="M41" s="116"/>
      <c r="N41" s="67">
        <f>IF(N40*Invulveld!$E$15&lt;'Test afmetingen en gewicht'!$C$42,N40,ROUNDDOWN('Test afmetingen en gewicht'!$C$42/Invulveld!$E$15,0))</f>
        <v>2</v>
      </c>
      <c r="O41" s="47" t="s">
        <v>65</v>
      </c>
      <c r="P41" s="116"/>
      <c r="Q41" s="67">
        <f>IF(Q40*Invulveld!$E$15&lt;'Test afmetingen en gewicht'!$C$43,Q40,ROUNDDOWN('Test afmetingen en gewicht'!$C$43/Invulveld!$E$15,0))</f>
        <v>2</v>
      </c>
      <c r="R41" s="47" t="s">
        <v>65</v>
      </c>
      <c r="S41" s="116"/>
      <c r="T41" s="67">
        <f>IF(T40*Invulveld!$E$15&lt;'Test afmetingen en gewicht'!$C$44,T40,ROUNDDOWN('Test afmetingen en gewicht'!$C$44/Invulveld!$E$15,0))</f>
        <v>2</v>
      </c>
      <c r="U41" s="47" t="s">
        <v>65</v>
      </c>
      <c r="V41" s="6"/>
    </row>
    <row r="42" spans="2:22" x14ac:dyDescent="0.25">
      <c r="B42" s="4"/>
      <c r="C42" s="58" t="s">
        <v>67</v>
      </c>
      <c r="D42" s="116"/>
      <c r="E42" s="68">
        <f>IF(E40*Invulveld!$E$15&gt;('Test afmetingen en gewicht'!$C$39), E47, 0)</f>
        <v>0</v>
      </c>
      <c r="F42" s="47" t="s">
        <v>64</v>
      </c>
      <c r="G42" s="116"/>
      <c r="H42" s="68">
        <f>IF(H40*Invulveld!$E$15&gt;('Test afmetingen en gewicht'!$C$40), H47, 0)</f>
        <v>600</v>
      </c>
      <c r="I42" s="47" t="s">
        <v>64</v>
      </c>
      <c r="J42" s="116"/>
      <c r="K42" s="68">
        <f>IF(K40*Invulveld!$E$15&gt;('Test afmetingen en gewicht'!$C$41), K47, 0)</f>
        <v>0</v>
      </c>
      <c r="L42" s="47" t="s">
        <v>64</v>
      </c>
      <c r="M42" s="116"/>
      <c r="N42" s="68">
        <f>IF(N40*Invulveld!$E$15&gt;('Test afmetingen en gewicht'!$C$42), N47, 0)</f>
        <v>0</v>
      </c>
      <c r="O42" s="47" t="s">
        <v>64</v>
      </c>
      <c r="P42" s="116"/>
      <c r="Q42" s="68">
        <f>IF(Q40*Invulveld!$E$15&gt;('Test afmetingen en gewicht'!$C$43), Q47, 0)</f>
        <v>0</v>
      </c>
      <c r="R42" s="47" t="s">
        <v>64</v>
      </c>
      <c r="S42" s="116"/>
      <c r="T42" s="68" t="str">
        <f>IF(T40*Invulveld!$E$15&gt;('Test afmetingen en gewicht'!$C$44), T47, T47)</f>
        <v>N.V.T.</v>
      </c>
      <c r="U42" s="47" t="s">
        <v>64</v>
      </c>
      <c r="V42" s="6"/>
    </row>
    <row r="43" spans="2:22" x14ac:dyDescent="0.25">
      <c r="B43" s="4"/>
      <c r="C43" s="58"/>
      <c r="D43" s="116"/>
      <c r="E43" s="67"/>
      <c r="F43" s="47"/>
      <c r="G43" s="116"/>
      <c r="H43" s="38"/>
      <c r="I43" s="47"/>
      <c r="J43" s="116"/>
      <c r="K43" s="38"/>
      <c r="L43" s="47"/>
      <c r="M43" s="116"/>
      <c r="N43" s="38"/>
      <c r="O43" s="47"/>
      <c r="P43" s="116"/>
      <c r="Q43" s="38"/>
      <c r="R43" s="47"/>
      <c r="S43" s="116"/>
      <c r="T43" s="38"/>
      <c r="U43" s="47"/>
      <c r="V43" s="6"/>
    </row>
    <row r="44" spans="2:22" x14ac:dyDescent="0.25">
      <c r="B44" s="4"/>
      <c r="C44" s="58" t="s">
        <v>60</v>
      </c>
      <c r="D44" s="116"/>
      <c r="E44" s="38">
        <f>IF(E41=0, 0, ROUNDUP(E34/E41,0))</f>
        <v>2</v>
      </c>
      <c r="F44" s="47" t="s">
        <v>68</v>
      </c>
      <c r="G44" s="116"/>
      <c r="H44" s="68">
        <f>IF(H41=0, 0, ROUNDUP(H34/H41,0))</f>
        <v>1</v>
      </c>
      <c r="I44" s="47" t="s">
        <v>68</v>
      </c>
      <c r="J44" s="119"/>
      <c r="K44" s="38">
        <f>IF(K41=0, 0, ROUNDUP(K34/K41,0))</f>
        <v>1</v>
      </c>
      <c r="L44" s="47" t="s">
        <v>68</v>
      </c>
      <c r="M44" s="119"/>
      <c r="N44" s="38">
        <f>IF(N41=0, 0, ROUNDUP(N34/N41,0))</f>
        <v>1</v>
      </c>
      <c r="O44" s="47" t="s">
        <v>68</v>
      </c>
      <c r="P44" s="116"/>
      <c r="Q44" s="38">
        <f>IF(Q41=0, 0, ROUNDUP(Q34/Q41,0))</f>
        <v>1</v>
      </c>
      <c r="R44" s="47" t="s">
        <v>68</v>
      </c>
      <c r="S44" s="116"/>
      <c r="T44" s="38">
        <f>IF(T41=0, 0, ROUNDUP(T34/T41,0))</f>
        <v>1</v>
      </c>
      <c r="U44" s="47" t="s">
        <v>68</v>
      </c>
      <c r="V44" s="6"/>
    </row>
    <row r="45" spans="2:22" x14ac:dyDescent="0.25">
      <c r="B45" s="4"/>
      <c r="C45" s="58"/>
      <c r="D45" s="116"/>
      <c r="E45" s="38"/>
      <c r="F45" s="47"/>
      <c r="G45" s="116"/>
      <c r="H45" s="38"/>
      <c r="I45" s="47"/>
      <c r="J45" s="119"/>
      <c r="K45" s="38"/>
      <c r="L45" s="47"/>
      <c r="M45" s="119"/>
      <c r="N45" s="38"/>
      <c r="O45" s="47"/>
      <c r="P45" s="116"/>
      <c r="Q45" s="38"/>
      <c r="R45" s="47"/>
      <c r="S45" s="116"/>
      <c r="T45" s="38"/>
      <c r="U45" s="47"/>
      <c r="V45" s="6"/>
    </row>
    <row r="46" spans="2:22" x14ac:dyDescent="0.25">
      <c r="B46" s="4"/>
      <c r="C46" s="58" t="s">
        <v>86</v>
      </c>
      <c r="D46" s="116"/>
      <c r="E46" s="38">
        <v>10</v>
      </c>
      <c r="F46" s="47" t="s">
        <v>69</v>
      </c>
      <c r="G46" s="116"/>
      <c r="H46" s="38">
        <v>10</v>
      </c>
      <c r="I46" s="47" t="s">
        <v>69</v>
      </c>
      <c r="J46" s="116"/>
      <c r="K46" s="38">
        <v>15</v>
      </c>
      <c r="L46" s="47" t="s">
        <v>69</v>
      </c>
      <c r="M46" s="120"/>
      <c r="N46" s="38">
        <v>15</v>
      </c>
      <c r="O46" s="47" t="s">
        <v>69</v>
      </c>
      <c r="P46" s="116"/>
      <c r="Q46" s="38">
        <v>15</v>
      </c>
      <c r="R46" s="47" t="s">
        <v>69</v>
      </c>
      <c r="S46" s="116"/>
      <c r="T46" s="38">
        <v>15</v>
      </c>
      <c r="U46" s="47" t="s">
        <v>69</v>
      </c>
      <c r="V46" s="6"/>
    </row>
    <row r="47" spans="2:22" x14ac:dyDescent="0.25">
      <c r="B47" s="4"/>
      <c r="C47" s="58" t="s">
        <v>58</v>
      </c>
      <c r="D47" s="116"/>
      <c r="E47" s="66">
        <v>210</v>
      </c>
      <c r="F47" s="47" t="s">
        <v>64</v>
      </c>
      <c r="G47" s="116"/>
      <c r="H47" s="70">
        <v>600</v>
      </c>
      <c r="I47" s="47" t="s">
        <v>64</v>
      </c>
      <c r="J47" s="120"/>
      <c r="K47" s="70">
        <v>540</v>
      </c>
      <c r="L47" s="47" t="s">
        <v>64</v>
      </c>
      <c r="M47" s="120"/>
      <c r="N47" s="70">
        <v>540</v>
      </c>
      <c r="O47" s="47" t="s">
        <v>64</v>
      </c>
      <c r="P47" s="119"/>
      <c r="Q47" s="70">
        <v>600</v>
      </c>
      <c r="R47" s="47" t="s">
        <v>64</v>
      </c>
      <c r="S47" s="116"/>
      <c r="T47" s="66" t="s">
        <v>37</v>
      </c>
      <c r="U47" s="47"/>
      <c r="V47" s="6"/>
    </row>
    <row r="48" spans="2:22" x14ac:dyDescent="0.25">
      <c r="B48" s="4"/>
      <c r="C48" s="58"/>
      <c r="D48" s="116"/>
      <c r="E48" s="66"/>
      <c r="F48" s="47"/>
      <c r="G48" s="116"/>
      <c r="H48" s="70"/>
      <c r="I48" s="47"/>
      <c r="J48" s="117"/>
      <c r="K48" s="70"/>
      <c r="L48" s="47"/>
      <c r="M48" s="117"/>
      <c r="N48" s="70"/>
      <c r="O48" s="47"/>
      <c r="P48" s="119"/>
      <c r="Q48" s="70"/>
      <c r="R48" s="47"/>
      <c r="S48" s="116"/>
      <c r="T48" s="66"/>
      <c r="U48" s="47"/>
      <c r="V48" s="6"/>
    </row>
    <row r="49" spans="2:22" x14ac:dyDescent="0.25">
      <c r="B49" s="4"/>
      <c r="C49" s="58" t="s">
        <v>28</v>
      </c>
      <c r="D49" s="116"/>
      <c r="E49" s="61">
        <v>0</v>
      </c>
      <c r="F49" s="47"/>
      <c r="G49" s="116"/>
      <c r="H49" s="61">
        <v>0</v>
      </c>
      <c r="I49" s="47"/>
      <c r="J49" s="117"/>
      <c r="K49" s="69">
        <v>0</v>
      </c>
      <c r="L49" s="48"/>
      <c r="M49" s="117"/>
      <c r="N49" s="69">
        <v>0</v>
      </c>
      <c r="O49" s="48"/>
      <c r="P49" s="120"/>
      <c r="Q49" s="69">
        <v>0</v>
      </c>
      <c r="R49" s="48"/>
      <c r="S49" s="116"/>
      <c r="T49" s="69">
        <f>Invulveld!E15/100*'Test afmetingen en gewicht'!M32*'Test afmetingen en gewicht'!M30</f>
        <v>1.96404</v>
      </c>
      <c r="U49" s="47"/>
      <c r="V49" s="6"/>
    </row>
    <row r="50" spans="2:22" x14ac:dyDescent="0.25">
      <c r="B50" s="4"/>
      <c r="C50" s="58" t="s">
        <v>71</v>
      </c>
      <c r="D50" s="116"/>
      <c r="E50" s="69">
        <f>E29/365</f>
        <v>0</v>
      </c>
      <c r="F50" s="48"/>
      <c r="G50" s="120"/>
      <c r="H50" s="69">
        <f>H29/365</f>
        <v>0</v>
      </c>
      <c r="I50" s="48"/>
      <c r="J50" s="117"/>
      <c r="K50" s="69">
        <f>K29/365</f>
        <v>0</v>
      </c>
      <c r="L50" s="48"/>
      <c r="M50" s="117"/>
      <c r="N50" s="69">
        <f>N29/365</f>
        <v>0</v>
      </c>
      <c r="O50" s="48"/>
      <c r="P50" s="120"/>
      <c r="Q50" s="69">
        <f>Q29/365</f>
        <v>0</v>
      </c>
      <c r="R50" s="47"/>
      <c r="S50" s="116"/>
      <c r="T50" s="69">
        <f>T29/365</f>
        <v>1.8520547945205479</v>
      </c>
      <c r="U50" s="48"/>
      <c r="V50" s="6"/>
    </row>
    <row r="51" spans="2:22" x14ac:dyDescent="0.25">
      <c r="B51" s="4"/>
      <c r="C51" s="58" t="s">
        <v>72</v>
      </c>
      <c r="D51" s="116"/>
      <c r="E51" s="61">
        <f>VLOOKUP(Invulveld!$I$16, 'Test afmetingen en gewicht'!$G$31:$J$39,3,FALSE)</f>
        <v>32.08</v>
      </c>
      <c r="F51" s="48"/>
      <c r="G51" s="117"/>
      <c r="H51" s="61">
        <f>VLOOKUP(Invulveld!$I$16, 'Test afmetingen en gewicht'!$G$31:$J$39,3,FALSE)</f>
        <v>32.08</v>
      </c>
      <c r="I51" s="48"/>
      <c r="J51" s="117"/>
      <c r="K51" s="61">
        <f>IF(Invulveld!$I$16&lt;18, 'Test afmetingen en gewicht'!$I$34,VLOOKUP(Invulveld!$I$16,'Test afmetingen en gewicht'!$G$31:$J$39,3,FALSE))</f>
        <v>32.08</v>
      </c>
      <c r="L51" s="48"/>
      <c r="M51" s="117"/>
      <c r="N51" s="61">
        <f>IF(Invulveld!$I$16&lt;18, 'Test afmetingen en gewicht'!$I$34,VLOOKUP(Invulveld!$I$16,'Test afmetingen en gewicht'!$G$31:$J$39,3,FALSE))</f>
        <v>32.08</v>
      </c>
      <c r="O51" s="48"/>
      <c r="P51" s="117"/>
      <c r="Q51" s="61">
        <f>IF(Invulveld!$I$16&lt;18, 'Test afmetingen en gewicht'!$I$34,VLOOKUP(Invulveld!$I$16,'Test afmetingen en gewicht'!$G$31:$J$39,3,FALSE))</f>
        <v>32.08</v>
      </c>
      <c r="R51" s="47"/>
      <c r="S51" s="116"/>
      <c r="T51" s="61">
        <f>IF(Invulveld!$I$16&lt;18, 'Test afmetingen en gewicht'!$I$34,VLOOKUP(Invulveld!$I$16,'Test afmetingen en gewicht'!$G$31:$J$39,3,FALSE))</f>
        <v>32.08</v>
      </c>
      <c r="U51" s="48"/>
      <c r="V51" s="6"/>
    </row>
    <row r="52" spans="2:22" x14ac:dyDescent="0.25">
      <c r="B52" s="4"/>
      <c r="C52" s="58" t="s">
        <v>109</v>
      </c>
      <c r="D52" s="116"/>
      <c r="E52" s="61">
        <f>E37*(E24/60)</f>
        <v>0</v>
      </c>
      <c r="F52" s="48"/>
      <c r="G52" s="117"/>
      <c r="H52" s="61">
        <f>H37*(H24/60)</f>
        <v>0</v>
      </c>
      <c r="I52" s="48"/>
      <c r="J52" s="117"/>
      <c r="K52" s="61">
        <f>K37*(K24/60)</f>
        <v>10</v>
      </c>
      <c r="L52" s="48"/>
      <c r="M52" s="117"/>
      <c r="N52" s="61">
        <f>N37*(N24/60)</f>
        <v>10</v>
      </c>
      <c r="O52" s="48"/>
      <c r="P52" s="117"/>
      <c r="Q52" s="61">
        <f>Q37*(Q24/60)</f>
        <v>10</v>
      </c>
      <c r="R52" s="47"/>
      <c r="S52" s="116"/>
      <c r="T52" s="61">
        <f>T37*(T24/60)</f>
        <v>10</v>
      </c>
      <c r="U52" s="48"/>
      <c r="V52" s="6"/>
    </row>
    <row r="53" spans="2:22" x14ac:dyDescent="0.25">
      <c r="B53" s="4"/>
      <c r="C53" s="58"/>
      <c r="D53" s="116"/>
      <c r="E53" s="61"/>
      <c r="F53" s="48"/>
      <c r="G53" s="117"/>
      <c r="H53" s="61"/>
      <c r="I53" s="48"/>
      <c r="J53" s="119"/>
      <c r="K53" s="61"/>
      <c r="L53" s="48"/>
      <c r="M53" s="119"/>
      <c r="N53" s="61"/>
      <c r="O53" s="48"/>
      <c r="P53" s="117"/>
      <c r="Q53" s="61"/>
      <c r="R53" s="47"/>
      <c r="S53" s="116"/>
      <c r="T53" s="61"/>
      <c r="U53" s="48"/>
      <c r="V53" s="6"/>
    </row>
    <row r="54" spans="2:22" x14ac:dyDescent="0.25">
      <c r="B54" s="4"/>
      <c r="C54" s="58" t="s">
        <v>74</v>
      </c>
      <c r="D54" s="116"/>
      <c r="E54" s="61">
        <f>SUM(E49:E52)</f>
        <v>32.08</v>
      </c>
      <c r="F54" s="48"/>
      <c r="G54" s="117"/>
      <c r="H54" s="61">
        <f>SUM(H49:H52)</f>
        <v>32.08</v>
      </c>
      <c r="I54" s="48"/>
      <c r="J54" s="117"/>
      <c r="K54" s="61">
        <f>SUM(K49:K52)</f>
        <v>42.08</v>
      </c>
      <c r="L54" s="48"/>
      <c r="M54" s="117"/>
      <c r="N54" s="61">
        <f>SUM(N49:N52)</f>
        <v>42.08</v>
      </c>
      <c r="O54" s="48"/>
      <c r="P54" s="117"/>
      <c r="Q54" s="61">
        <f>SUM(Q49:Q52)</f>
        <v>42.08</v>
      </c>
      <c r="R54" s="47"/>
      <c r="S54" s="116"/>
      <c r="T54" s="61">
        <f>SUM(T49:T52)</f>
        <v>45.896094794520543</v>
      </c>
      <c r="U54" s="48"/>
      <c r="V54" s="6"/>
    </row>
    <row r="55" spans="2:22" x14ac:dyDescent="0.25">
      <c r="B55" s="4"/>
      <c r="C55" s="58"/>
      <c r="D55" s="116"/>
      <c r="E55" s="61"/>
      <c r="F55" s="48"/>
      <c r="G55" s="117"/>
      <c r="H55" s="61"/>
      <c r="I55" s="48"/>
      <c r="J55" s="117"/>
      <c r="K55" s="61"/>
      <c r="L55" s="48"/>
      <c r="M55" s="117"/>
      <c r="N55" s="61"/>
      <c r="O55" s="48"/>
      <c r="P55" s="117"/>
      <c r="Q55" s="61"/>
      <c r="R55" s="47"/>
      <c r="S55" s="116"/>
      <c r="T55" s="61"/>
      <c r="U55" s="48"/>
      <c r="V55" s="6"/>
    </row>
    <row r="56" spans="2:22" x14ac:dyDescent="0.25">
      <c r="B56" s="4"/>
      <c r="C56" s="58" t="s">
        <v>77</v>
      </c>
      <c r="D56" s="116"/>
      <c r="E56" s="70">
        <f>Invulveld!$I$14*Invulveld!$I$15</f>
        <v>225</v>
      </c>
      <c r="F56" s="76"/>
      <c r="G56" s="119"/>
      <c r="H56" s="70">
        <f>Invulveld!$I$14*Invulveld!$I$15</f>
        <v>225</v>
      </c>
      <c r="I56" s="76"/>
      <c r="J56" s="117"/>
      <c r="K56" s="70">
        <f>Invulveld!$I$14*Invulveld!$I$15</f>
        <v>225</v>
      </c>
      <c r="L56" s="76"/>
      <c r="M56" s="117"/>
      <c r="N56" s="70">
        <f>Invulveld!$I$14*Invulveld!$I$15</f>
        <v>225</v>
      </c>
      <c r="O56" s="76"/>
      <c r="P56" s="119"/>
      <c r="Q56" s="70">
        <f>Invulveld!$I$14*Invulveld!$I$15</f>
        <v>225</v>
      </c>
      <c r="R56" s="47"/>
      <c r="S56" s="116"/>
      <c r="T56" s="70">
        <f>Invulveld!$I$14*Invulveld!$I$15</f>
        <v>225</v>
      </c>
      <c r="U56" s="76"/>
      <c r="V56" s="6"/>
    </row>
    <row r="57" spans="2:22" x14ac:dyDescent="0.25">
      <c r="B57" s="4"/>
      <c r="C57" s="58" t="s">
        <v>82</v>
      </c>
      <c r="D57" s="116"/>
      <c r="E57" s="61">
        <f>E56*E54</f>
        <v>7218</v>
      </c>
      <c r="F57" s="48"/>
      <c r="G57" s="117"/>
      <c r="H57" s="61">
        <f>H56*H54</f>
        <v>7218</v>
      </c>
      <c r="I57" s="48"/>
      <c r="J57" s="120"/>
      <c r="K57" s="61">
        <f>K56*K54</f>
        <v>9468</v>
      </c>
      <c r="L57" s="48"/>
      <c r="M57" s="120"/>
      <c r="N57" s="61">
        <f>N56*N54</f>
        <v>9468</v>
      </c>
      <c r="O57" s="48"/>
      <c r="P57" s="117"/>
      <c r="Q57" s="61">
        <f>Q56*Q54</f>
        <v>9468</v>
      </c>
      <c r="R57" s="47"/>
      <c r="S57" s="116"/>
      <c r="T57" s="61">
        <f>T56*T54</f>
        <v>10326.621328767122</v>
      </c>
      <c r="U57" s="48"/>
      <c r="V57" s="6"/>
    </row>
    <row r="58" spans="2:22" x14ac:dyDescent="0.25">
      <c r="B58" s="4"/>
      <c r="C58" s="58"/>
      <c r="D58" s="116"/>
      <c r="E58" s="61"/>
      <c r="F58" s="48"/>
      <c r="G58" s="117"/>
      <c r="H58" s="61"/>
      <c r="I58" s="48"/>
      <c r="J58" s="120"/>
      <c r="K58" s="61"/>
      <c r="L58" s="48"/>
      <c r="M58" s="120"/>
      <c r="N58" s="61"/>
      <c r="O58" s="48"/>
      <c r="P58" s="117"/>
      <c r="Q58" s="61"/>
      <c r="R58" s="47"/>
      <c r="S58" s="116"/>
      <c r="T58" s="61"/>
      <c r="U58" s="48"/>
      <c r="V58" s="6"/>
    </row>
    <row r="59" spans="2:22" x14ac:dyDescent="0.25">
      <c r="B59" s="4"/>
      <c r="C59" s="58" t="s">
        <v>78</v>
      </c>
      <c r="D59" s="116"/>
      <c r="E59" s="61">
        <f>E21/Invulveld!E16</f>
        <v>922.5</v>
      </c>
      <c r="F59" s="48"/>
      <c r="G59" s="117"/>
      <c r="H59" s="61">
        <f>H21/Invulveld!E16</f>
        <v>3000</v>
      </c>
      <c r="I59" s="48"/>
      <c r="J59" s="120"/>
      <c r="K59" s="61">
        <f>K21/Invulveld!E16</f>
        <v>6250</v>
      </c>
      <c r="L59" s="48"/>
      <c r="M59" s="120"/>
      <c r="N59" s="61">
        <f>N21/Invulveld!E16</f>
        <v>6875</v>
      </c>
      <c r="O59" s="48"/>
      <c r="P59" s="117"/>
      <c r="Q59" s="61">
        <f>Q21/Invulveld!E16</f>
        <v>7886</v>
      </c>
      <c r="R59" s="47"/>
      <c r="S59" s="116"/>
      <c r="T59" s="61">
        <f>T21/Invulveld!E16</f>
        <v>5125</v>
      </c>
      <c r="U59" s="48"/>
      <c r="V59" s="6"/>
    </row>
    <row r="60" spans="2:22" x14ac:dyDescent="0.25">
      <c r="B60" s="4"/>
      <c r="C60" s="58" t="s">
        <v>80</v>
      </c>
      <c r="D60" s="116"/>
      <c r="E60" s="69">
        <v>100</v>
      </c>
      <c r="F60" s="48"/>
      <c r="G60" s="120"/>
      <c r="H60" s="69">
        <v>100</v>
      </c>
      <c r="I60" s="48"/>
      <c r="J60" s="120"/>
      <c r="K60" s="69">
        <v>828.16</v>
      </c>
      <c r="L60" s="48"/>
      <c r="M60" s="120"/>
      <c r="N60" s="69">
        <v>828.16</v>
      </c>
      <c r="O60" s="48"/>
      <c r="P60" s="120"/>
      <c r="Q60" s="69">
        <v>1098.2</v>
      </c>
      <c r="R60" s="47"/>
      <c r="S60" s="116"/>
      <c r="T60" s="69">
        <v>970</v>
      </c>
      <c r="U60" s="48"/>
      <c r="V60" s="6"/>
    </row>
    <row r="61" spans="2:22" x14ac:dyDescent="0.25">
      <c r="B61" s="4"/>
      <c r="C61" s="58" t="s">
        <v>81</v>
      </c>
      <c r="D61" s="116"/>
      <c r="E61" s="69">
        <v>100</v>
      </c>
      <c r="F61" s="48"/>
      <c r="G61" s="120"/>
      <c r="H61" s="69">
        <v>100</v>
      </c>
      <c r="I61" s="48"/>
      <c r="J61" s="117"/>
      <c r="K61" s="69">
        <v>250</v>
      </c>
      <c r="L61" s="48"/>
      <c r="M61" s="117"/>
      <c r="N61" s="69">
        <v>250</v>
      </c>
      <c r="O61" s="48"/>
      <c r="P61" s="120"/>
      <c r="Q61" s="69">
        <v>400</v>
      </c>
      <c r="R61" s="47"/>
      <c r="S61" s="116"/>
      <c r="T61" s="69">
        <v>500</v>
      </c>
      <c r="U61" s="48"/>
      <c r="V61" s="6"/>
    </row>
    <row r="62" spans="2:22" x14ac:dyDescent="0.25">
      <c r="B62" s="4"/>
      <c r="C62" s="58" t="s">
        <v>84</v>
      </c>
      <c r="D62" s="116"/>
      <c r="E62" s="69">
        <f>SUM(E59:E61)</f>
        <v>1122.5</v>
      </c>
      <c r="F62" s="48"/>
      <c r="G62" s="120"/>
      <c r="H62" s="69">
        <f>SUM(H59:H61)</f>
        <v>3200</v>
      </c>
      <c r="I62" s="48"/>
      <c r="J62" s="120"/>
      <c r="K62" s="69">
        <f>SUM(K59:K61)</f>
        <v>7328.16</v>
      </c>
      <c r="L62" s="48"/>
      <c r="M62" s="120"/>
      <c r="N62" s="69">
        <f>SUM(N59:N61)</f>
        <v>7953.16</v>
      </c>
      <c r="O62" s="48"/>
      <c r="P62" s="120"/>
      <c r="Q62" s="69">
        <f>SUM(Q59:Q61)</f>
        <v>9384.2000000000007</v>
      </c>
      <c r="R62" s="47"/>
      <c r="S62" s="116"/>
      <c r="T62" s="69">
        <f>SUM(T59:T61)</f>
        <v>6595</v>
      </c>
      <c r="U62" s="48"/>
      <c r="V62" s="6"/>
    </row>
    <row r="63" spans="2:22" x14ac:dyDescent="0.25">
      <c r="B63" s="4"/>
      <c r="C63" s="58"/>
      <c r="D63" s="116"/>
      <c r="E63" s="69"/>
      <c r="F63" s="48"/>
      <c r="G63" s="120"/>
      <c r="H63" s="69"/>
      <c r="I63" s="48"/>
      <c r="J63" s="120"/>
      <c r="K63" s="69"/>
      <c r="L63" s="48"/>
      <c r="M63" s="120"/>
      <c r="N63" s="69"/>
      <c r="O63" s="48"/>
      <c r="P63" s="120"/>
      <c r="Q63" s="69"/>
      <c r="R63" s="47"/>
      <c r="S63" s="116"/>
      <c r="T63" s="69"/>
      <c r="U63" s="48"/>
      <c r="V63" s="6"/>
    </row>
    <row r="64" spans="2:22" ht="17.25" x14ac:dyDescent="0.3">
      <c r="B64" s="4"/>
      <c r="C64" s="58" t="s">
        <v>83</v>
      </c>
      <c r="D64" s="116"/>
      <c r="E64" s="61">
        <f>E44*E57</f>
        <v>14436</v>
      </c>
      <c r="F64" s="48"/>
      <c r="G64" s="117"/>
      <c r="H64" s="61">
        <f>H44*H57</f>
        <v>7218</v>
      </c>
      <c r="I64" s="48"/>
      <c r="J64" s="121"/>
      <c r="K64" s="61">
        <f>K44*K57</f>
        <v>9468</v>
      </c>
      <c r="L64" s="48"/>
      <c r="M64" s="121"/>
      <c r="N64" s="61">
        <f>N44*N57</f>
        <v>9468</v>
      </c>
      <c r="O64" s="48"/>
      <c r="P64" s="117"/>
      <c r="Q64" s="61">
        <f>Q44*Q57</f>
        <v>9468</v>
      </c>
      <c r="R64" s="47"/>
      <c r="S64" s="116"/>
      <c r="T64" s="61">
        <f>T44*T57</f>
        <v>10326.621328767122</v>
      </c>
      <c r="U64" s="48"/>
      <c r="V64" s="6"/>
    </row>
    <row r="65" spans="2:22" x14ac:dyDescent="0.25">
      <c r="B65" s="4"/>
      <c r="C65" s="58" t="s">
        <v>85</v>
      </c>
      <c r="D65" s="116"/>
      <c r="E65" s="69">
        <f>E44*E62</f>
        <v>2245</v>
      </c>
      <c r="F65" s="48"/>
      <c r="G65" s="120"/>
      <c r="H65" s="69">
        <f>H44*H62</f>
        <v>3200</v>
      </c>
      <c r="I65" s="48"/>
      <c r="J65" s="116"/>
      <c r="K65" s="69">
        <f>K44*K62</f>
        <v>7328.16</v>
      </c>
      <c r="L65" s="48"/>
      <c r="M65" s="116"/>
      <c r="N65" s="69">
        <f>N44*N62</f>
        <v>7953.16</v>
      </c>
      <c r="O65" s="48"/>
      <c r="P65" s="120"/>
      <c r="Q65" s="69">
        <f>Q44*Q62</f>
        <v>9384.2000000000007</v>
      </c>
      <c r="R65" s="47"/>
      <c r="S65" s="116"/>
      <c r="T65" s="69">
        <f>T44*T62</f>
        <v>6595</v>
      </c>
      <c r="U65" s="48"/>
      <c r="V65" s="6"/>
    </row>
    <row r="66" spans="2:22" ht="19.5" x14ac:dyDescent="0.3">
      <c r="B66" s="4"/>
      <c r="C66" s="85"/>
      <c r="D66" s="131"/>
      <c r="E66" s="132"/>
      <c r="F66" s="133"/>
      <c r="G66" s="134"/>
      <c r="H66" s="132"/>
      <c r="I66" s="133"/>
      <c r="J66" s="131"/>
      <c r="K66" s="132"/>
      <c r="L66" s="133"/>
      <c r="M66" s="131"/>
      <c r="N66" s="132"/>
      <c r="O66" s="133"/>
      <c r="P66" s="134"/>
      <c r="Q66" s="132"/>
      <c r="R66" s="135"/>
      <c r="S66" s="131"/>
      <c r="T66" s="132"/>
      <c r="U66" s="133"/>
      <c r="V66" s="6"/>
    </row>
    <row r="67" spans="2:22" ht="20.25" thickBot="1" x14ac:dyDescent="0.35">
      <c r="B67" s="4"/>
      <c r="C67" s="136" t="s">
        <v>93</v>
      </c>
      <c r="D67" s="137"/>
      <c r="E67" s="138">
        <f>SUM(E64+E65)</f>
        <v>16681</v>
      </c>
      <c r="F67" s="139"/>
      <c r="G67" s="140"/>
      <c r="H67" s="138">
        <f>SUM(H64+H65)</f>
        <v>10418</v>
      </c>
      <c r="I67" s="139"/>
      <c r="J67" s="131"/>
      <c r="K67" s="138">
        <f>SUM(K64+K65)</f>
        <v>16796.16</v>
      </c>
      <c r="L67" s="139"/>
      <c r="M67" s="131"/>
      <c r="N67" s="138">
        <f>SUM(N64+N65)</f>
        <v>17421.16</v>
      </c>
      <c r="O67" s="139"/>
      <c r="P67" s="140"/>
      <c r="Q67" s="138">
        <f>SUM(Q64+Q65)</f>
        <v>18852.2</v>
      </c>
      <c r="R67" s="141"/>
      <c r="S67" s="131"/>
      <c r="T67" s="138">
        <f>SUM(T64+T65)</f>
        <v>16921.62132876712</v>
      </c>
      <c r="U67" s="139"/>
      <c r="V67" s="6"/>
    </row>
    <row r="68" spans="2:22" x14ac:dyDescent="0.25">
      <c r="B68" s="4"/>
      <c r="C68" s="5"/>
      <c r="D68" s="5"/>
      <c r="E68" s="5"/>
      <c r="F68" s="5"/>
      <c r="G68" s="116"/>
      <c r="H68" s="5"/>
      <c r="I68" s="5"/>
      <c r="J68" s="116"/>
      <c r="K68" s="5"/>
      <c r="L68" s="5"/>
      <c r="M68" s="116"/>
      <c r="N68" s="5"/>
      <c r="O68" s="5"/>
      <c r="P68" s="116"/>
      <c r="Q68" s="5"/>
      <c r="R68" s="5"/>
      <c r="S68" s="116"/>
      <c r="T68" s="5"/>
      <c r="U68" s="5"/>
      <c r="V68" s="6"/>
    </row>
    <row r="69" spans="2:22" ht="15.75" thickBot="1" x14ac:dyDescent="0.3">
      <c r="B69" s="8"/>
      <c r="C69" s="9"/>
      <c r="D69" s="9"/>
      <c r="E69" s="9"/>
      <c r="F69" s="9"/>
      <c r="G69" s="125"/>
      <c r="H69" s="9"/>
      <c r="I69" s="9"/>
      <c r="J69" s="9"/>
      <c r="K69" s="9"/>
      <c r="L69" s="9"/>
      <c r="M69" s="125"/>
      <c r="N69" s="9"/>
      <c r="O69" s="9"/>
      <c r="P69" s="125"/>
      <c r="Q69" s="9"/>
      <c r="R69" s="9"/>
      <c r="S69" s="125"/>
      <c r="T69" s="9"/>
      <c r="U69" s="9"/>
      <c r="V69" s="10"/>
    </row>
    <row r="70" spans="2:22" x14ac:dyDescent="0.25">
      <c r="G70" s="105"/>
      <c r="M70" s="105"/>
      <c r="P70" s="105"/>
      <c r="S70" s="105"/>
    </row>
    <row r="71" spans="2:22" x14ac:dyDescent="0.25">
      <c r="G71" s="105"/>
      <c r="M71" s="105"/>
      <c r="P71" s="105"/>
      <c r="S71" s="105"/>
    </row>
    <row r="72" spans="2:22" x14ac:dyDescent="0.25">
      <c r="M72" s="105"/>
      <c r="P72" s="105"/>
      <c r="S72" s="105"/>
    </row>
    <row r="73" spans="2:22" x14ac:dyDescent="0.25">
      <c r="M73" s="105"/>
      <c r="P73" s="105"/>
      <c r="S73" s="105"/>
    </row>
    <row r="74" spans="2:22" x14ac:dyDescent="0.25">
      <c r="M74" s="105"/>
      <c r="P74" s="105"/>
      <c r="S74" s="105"/>
    </row>
    <row r="75" spans="2:22" x14ac:dyDescent="0.25">
      <c r="M75" s="105"/>
      <c r="P75" s="105"/>
      <c r="S75" s="105"/>
    </row>
    <row r="76" spans="2:22" x14ac:dyDescent="0.25">
      <c r="M76" s="105"/>
      <c r="S76" s="105"/>
    </row>
    <row r="77" spans="2:22" x14ac:dyDescent="0.25">
      <c r="M77" s="105"/>
      <c r="S77" s="105"/>
    </row>
    <row r="78" spans="2:22" x14ac:dyDescent="0.25">
      <c r="M78" s="105"/>
      <c r="S78" s="105"/>
    </row>
    <row r="79" spans="2:22" x14ac:dyDescent="0.25">
      <c r="M79" s="105"/>
      <c r="S79" s="105"/>
    </row>
    <row r="80" spans="2:22" x14ac:dyDescent="0.25">
      <c r="M80" s="105"/>
      <c r="S80" s="105"/>
    </row>
    <row r="81" spans="13:19" x14ac:dyDescent="0.25">
      <c r="M81" s="105"/>
      <c r="S81" s="105"/>
    </row>
    <row r="82" spans="13:19" x14ac:dyDescent="0.25">
      <c r="M82" s="105"/>
      <c r="S82" s="105"/>
    </row>
    <row r="83" spans="13:19" x14ac:dyDescent="0.25">
      <c r="M83" s="105"/>
      <c r="S83" s="105"/>
    </row>
    <row r="84" spans="13:19" x14ac:dyDescent="0.25">
      <c r="M84" s="105"/>
      <c r="S84" s="105"/>
    </row>
    <row r="85" spans="13:19" x14ac:dyDescent="0.25">
      <c r="M85" s="105"/>
      <c r="S85" s="105"/>
    </row>
    <row r="86" spans="13:19" x14ac:dyDescent="0.25">
      <c r="M86" s="105"/>
      <c r="S86" s="105"/>
    </row>
    <row r="87" spans="13:19" x14ac:dyDescent="0.25">
      <c r="M87" s="105"/>
      <c r="S87" s="105"/>
    </row>
    <row r="88" spans="13:19" x14ac:dyDescent="0.25">
      <c r="M88" s="105"/>
      <c r="S88" s="105"/>
    </row>
    <row r="89" spans="13:19" x14ac:dyDescent="0.25">
      <c r="M89" s="105"/>
      <c r="S89" s="105"/>
    </row>
    <row r="90" spans="13:19" x14ac:dyDescent="0.25">
      <c r="M90" s="105"/>
      <c r="S90" s="105"/>
    </row>
    <row r="91" spans="13:19" x14ac:dyDescent="0.25">
      <c r="M91" s="105"/>
      <c r="S91" s="105"/>
    </row>
    <row r="92" spans="13:19" x14ac:dyDescent="0.25">
      <c r="M92" s="105"/>
      <c r="S92" s="105"/>
    </row>
    <row r="93" spans="13:19" x14ac:dyDescent="0.25">
      <c r="M93" s="105"/>
      <c r="S93" s="105"/>
    </row>
    <row r="94" spans="13:19" x14ac:dyDescent="0.25">
      <c r="M94" s="105"/>
      <c r="S94" s="105"/>
    </row>
    <row r="95" spans="13:19" x14ac:dyDescent="0.25">
      <c r="M95" s="105"/>
      <c r="S95" s="105"/>
    </row>
    <row r="96" spans="13:19" x14ac:dyDescent="0.25">
      <c r="M96" s="105"/>
      <c r="S96" s="105"/>
    </row>
    <row r="97" spans="13:19" x14ac:dyDescent="0.25">
      <c r="M97" s="105"/>
      <c r="S97" s="105"/>
    </row>
    <row r="98" spans="13:19" x14ac:dyDescent="0.25">
      <c r="M98" s="105"/>
      <c r="S98" s="105"/>
    </row>
    <row r="99" spans="13:19" x14ac:dyDescent="0.25">
      <c r="M99" s="105"/>
      <c r="S99" s="105"/>
    </row>
    <row r="100" spans="13:19" x14ac:dyDescent="0.25">
      <c r="M100" s="105"/>
      <c r="S100" s="105"/>
    </row>
    <row r="101" spans="13:19" x14ac:dyDescent="0.25">
      <c r="M101" s="105"/>
      <c r="S101" s="105"/>
    </row>
    <row r="102" spans="13:19" x14ac:dyDescent="0.25">
      <c r="M102" s="105"/>
      <c r="S102" s="105"/>
    </row>
    <row r="103" spans="13:19" x14ac:dyDescent="0.25">
      <c r="M103" s="105"/>
      <c r="S103" s="105"/>
    </row>
    <row r="104" spans="13:19" x14ac:dyDescent="0.25">
      <c r="M104" s="105"/>
      <c r="S104" s="105"/>
    </row>
    <row r="105" spans="13:19" x14ac:dyDescent="0.25">
      <c r="M105" s="105"/>
      <c r="S105" s="105"/>
    </row>
    <row r="106" spans="13:19" x14ac:dyDescent="0.25">
      <c r="M106" s="105"/>
      <c r="S106" s="105"/>
    </row>
    <row r="107" spans="13:19" x14ac:dyDescent="0.25">
      <c r="M107" s="105"/>
      <c r="S107" s="105"/>
    </row>
    <row r="108" spans="13:19" x14ac:dyDescent="0.25">
      <c r="M108" s="105"/>
      <c r="S108" s="105"/>
    </row>
    <row r="109" spans="13:19" x14ac:dyDescent="0.25">
      <c r="M109" s="105"/>
      <c r="S109" s="105"/>
    </row>
    <row r="110" spans="13:19" x14ac:dyDescent="0.25">
      <c r="M110" s="105"/>
      <c r="S110" s="105"/>
    </row>
    <row r="111" spans="13:19" x14ac:dyDescent="0.25">
      <c r="M111" s="105"/>
      <c r="S111" s="105"/>
    </row>
    <row r="112" spans="13:19" x14ac:dyDescent="0.25">
      <c r="M112" s="105"/>
      <c r="S112" s="105"/>
    </row>
    <row r="113" spans="13:19" x14ac:dyDescent="0.25">
      <c r="M113" s="105"/>
      <c r="S113" s="105"/>
    </row>
    <row r="114" spans="13:19" x14ac:dyDescent="0.25">
      <c r="M114" s="105"/>
      <c r="S114" s="105"/>
    </row>
    <row r="115" spans="13:19" x14ac:dyDescent="0.25">
      <c r="M115" s="105"/>
      <c r="S115" s="105"/>
    </row>
    <row r="116" spans="13:19" x14ac:dyDescent="0.25">
      <c r="M116" s="105"/>
      <c r="S116" s="105"/>
    </row>
    <row r="117" spans="13:19" x14ac:dyDescent="0.25">
      <c r="M117" s="105"/>
      <c r="S117" s="105"/>
    </row>
    <row r="118" spans="13:19" x14ac:dyDescent="0.25">
      <c r="M118" s="105"/>
      <c r="S118" s="105"/>
    </row>
    <row r="119" spans="13:19" x14ac:dyDescent="0.25">
      <c r="M119" s="105"/>
    </row>
    <row r="120" spans="13:19" x14ac:dyDescent="0.25">
      <c r="M120" s="105"/>
    </row>
    <row r="121" spans="13:19" x14ac:dyDescent="0.25">
      <c r="M121" s="105"/>
    </row>
    <row r="122" spans="13:19" x14ac:dyDescent="0.25">
      <c r="M122" s="105"/>
    </row>
    <row r="123" spans="13:19" x14ac:dyDescent="0.25">
      <c r="M123" s="105"/>
    </row>
    <row r="124" spans="13:19" x14ac:dyDescent="0.25">
      <c r="M124" s="105"/>
    </row>
    <row r="125" spans="13:19" x14ac:dyDescent="0.25">
      <c r="M125" s="105"/>
    </row>
    <row r="126" spans="13:19" x14ac:dyDescent="0.25">
      <c r="M126" s="105"/>
    </row>
    <row r="127" spans="13:19" x14ac:dyDescent="0.25">
      <c r="M127" s="105"/>
    </row>
    <row r="128" spans="13:19" x14ac:dyDescent="0.25">
      <c r="M128" s="105"/>
    </row>
    <row r="129" spans="13:13" x14ac:dyDescent="0.25">
      <c r="M129" s="105"/>
    </row>
    <row r="130" spans="13:13" x14ac:dyDescent="0.25">
      <c r="M130" s="105"/>
    </row>
    <row r="131" spans="13:13" x14ac:dyDescent="0.25">
      <c r="M131" s="105"/>
    </row>
    <row r="132" spans="13:13" x14ac:dyDescent="0.25">
      <c r="M132" s="105"/>
    </row>
    <row r="133" spans="13:13" x14ac:dyDescent="0.25">
      <c r="M133" s="105"/>
    </row>
    <row r="134" spans="13:13" x14ac:dyDescent="0.25">
      <c r="M134" s="105"/>
    </row>
    <row r="135" spans="13:13" x14ac:dyDescent="0.25">
      <c r="M135" s="105"/>
    </row>
    <row r="136" spans="13:13" x14ac:dyDescent="0.25">
      <c r="M136" s="105"/>
    </row>
    <row r="137" spans="13:13" x14ac:dyDescent="0.25">
      <c r="M137" s="105"/>
    </row>
    <row r="138" spans="13:13" x14ac:dyDescent="0.25">
      <c r="M138" s="105"/>
    </row>
    <row r="139" spans="13:13" x14ac:dyDescent="0.25">
      <c r="M139" s="105"/>
    </row>
    <row r="140" spans="13:13" x14ac:dyDescent="0.25">
      <c r="M140" s="105"/>
    </row>
    <row r="141" spans="13:13" x14ac:dyDescent="0.25">
      <c r="M141" s="105"/>
    </row>
    <row r="142" spans="13:13" x14ac:dyDescent="0.25">
      <c r="M142" s="105"/>
    </row>
  </sheetData>
  <dataValidations count="2">
    <dataValidation type="list" showInputMessage="1" showErrorMessage="1" promptTitle="Leeftijd invoeren" prompt="Voer hier de leeftijd van uw chauffeur in." sqref="I16:I17" xr:uid="{00000000-0002-0000-0100-000000000000}">
      <formula1>Leeftijd</formula1>
    </dataValidation>
    <dataValidation type="list" allowBlank="1" showInputMessage="1" showErrorMessage="1" sqref="E14" xr:uid="{00000000-0002-0000-0100-000001000000}">
      <formula1>$L$10:$L$11</formula1>
    </dataValidation>
  </dataValidations>
  <pageMargins left="0.7" right="0.7" top="0.75" bottom="0.75" header="0.3" footer="0.3"/>
  <pageSetup paperSize="9" orientation="portrait" r:id="rId1"/>
  <drawing r:id="rId2"/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2"/>
  <dimension ref="B1:Z43"/>
  <sheetViews>
    <sheetView showGridLines="0" zoomScale="85" zoomScaleNormal="85" zoomScalePageLayoutView="160" workbookViewId="0">
      <selection activeCell="D1" sqref="D1"/>
    </sheetView>
  </sheetViews>
  <sheetFormatPr defaultColWidth="8.85546875" defaultRowHeight="15" x14ac:dyDescent="0.25"/>
  <cols>
    <col min="1" max="2" width="4.85546875" customWidth="1"/>
    <col min="3" max="3" width="23.85546875" bestFit="1" customWidth="1"/>
    <col min="5" max="5" width="6.42578125" customWidth="1"/>
    <col min="6" max="6" width="10.7109375" customWidth="1"/>
    <col min="8" max="8" width="7.85546875" customWidth="1"/>
    <col min="9" max="9" width="10" customWidth="1"/>
    <col min="10" max="10" width="15.7109375" customWidth="1"/>
    <col min="11" max="11" width="11.85546875" customWidth="1"/>
    <col min="13" max="13" width="6.85546875" customWidth="1"/>
    <col min="14" max="14" width="13.42578125" customWidth="1"/>
    <col min="16" max="16" width="5.7109375" customWidth="1"/>
    <col min="17" max="17" width="11" customWidth="1"/>
    <col min="19" max="19" width="6" customWidth="1"/>
    <col min="20" max="20" width="11.42578125" customWidth="1"/>
    <col min="21" max="21" width="6.28515625" customWidth="1"/>
  </cols>
  <sheetData>
    <row r="1" spans="2:26" ht="15.75" thickBot="1" x14ac:dyDescent="0.3"/>
    <row r="2" spans="2:26" x14ac:dyDescent="0.25">
      <c r="B2" s="97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</row>
    <row r="3" spans="2:26" x14ac:dyDescent="0.25">
      <c r="B3" s="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"/>
    </row>
    <row r="4" spans="2:26" x14ac:dyDescent="0.25"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6"/>
    </row>
    <row r="5" spans="2:26" x14ac:dyDescent="0.25">
      <c r="B5" s="4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6"/>
    </row>
    <row r="6" spans="2:26" x14ac:dyDescent="0.25">
      <c r="B6" s="4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</row>
    <row r="7" spans="2:26" x14ac:dyDescent="0.25">
      <c r="B7" s="4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/>
    </row>
    <row r="8" spans="2:26" x14ac:dyDescent="0.25"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6"/>
    </row>
    <row r="9" spans="2:26" x14ac:dyDescent="0.25">
      <c r="B9" s="4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</row>
    <row r="10" spans="2:26" x14ac:dyDescent="0.25">
      <c r="B10" s="4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6"/>
    </row>
    <row r="11" spans="2:26" x14ac:dyDescent="0.25">
      <c r="B11" s="4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6"/>
    </row>
    <row r="12" spans="2:26" x14ac:dyDescent="0.25">
      <c r="B12" s="4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6"/>
    </row>
    <row r="13" spans="2:26" x14ac:dyDescent="0.25">
      <c r="B13" s="4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6"/>
    </row>
    <row r="14" spans="2:26" x14ac:dyDescent="0.25">
      <c r="B14" s="4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6"/>
    </row>
    <row r="15" spans="2:26" x14ac:dyDescent="0.25">
      <c r="B15" s="4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6"/>
    </row>
    <row r="16" spans="2:26" x14ac:dyDescent="0.25">
      <c r="B16" s="4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6"/>
    </row>
    <row r="17" spans="2:26" x14ac:dyDescent="0.25">
      <c r="B17" s="4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6"/>
    </row>
    <row r="18" spans="2:26" x14ac:dyDescent="0.25">
      <c r="B18" s="4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6"/>
    </row>
    <row r="19" spans="2:26" x14ac:dyDescent="0.25">
      <c r="B19" s="4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6"/>
    </row>
    <row r="20" spans="2:26" x14ac:dyDescent="0.25">
      <c r="B20" s="4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6"/>
    </row>
    <row r="21" spans="2:26" x14ac:dyDescent="0.25">
      <c r="B21" s="4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6"/>
    </row>
    <row r="22" spans="2:26" x14ac:dyDescent="0.25">
      <c r="B22" s="4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6"/>
    </row>
    <row r="23" spans="2:26" x14ac:dyDescent="0.25">
      <c r="B23" s="4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6"/>
    </row>
    <row r="24" spans="2:26" x14ac:dyDescent="0.25">
      <c r="B24" s="4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6"/>
    </row>
    <row r="25" spans="2:26" x14ac:dyDescent="0.25">
      <c r="B25" s="4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6"/>
    </row>
    <row r="26" spans="2:26" x14ac:dyDescent="0.25">
      <c r="B26" s="4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6"/>
    </row>
    <row r="27" spans="2:26" x14ac:dyDescent="0.25">
      <c r="B27" s="4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6"/>
    </row>
    <row r="28" spans="2:26" x14ac:dyDescent="0.25">
      <c r="B28" s="4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6"/>
    </row>
    <row r="29" spans="2:26" x14ac:dyDescent="0.25">
      <c r="B29" s="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6"/>
    </row>
    <row r="30" spans="2:26" x14ac:dyDescent="0.25">
      <c r="B30" s="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6"/>
    </row>
    <row r="31" spans="2:26" x14ac:dyDescent="0.25">
      <c r="B31" s="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6"/>
    </row>
    <row r="32" spans="2:26" x14ac:dyDescent="0.25">
      <c r="B32" s="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6"/>
    </row>
    <row r="33" spans="2:26" x14ac:dyDescent="0.25">
      <c r="B33" s="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6"/>
    </row>
    <row r="34" spans="2:26" ht="15.75" thickBot="1" x14ac:dyDescent="0.3">
      <c r="B34" s="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6"/>
    </row>
    <row r="35" spans="2:26" ht="21" x14ac:dyDescent="0.35">
      <c r="B35" s="4"/>
      <c r="C35" s="142" t="s">
        <v>103</v>
      </c>
      <c r="D35" s="40"/>
      <c r="E35" s="83"/>
      <c r="F35" s="44"/>
      <c r="G35" s="55"/>
      <c r="H35" s="83"/>
      <c r="I35" s="44"/>
      <c r="J35" s="55"/>
      <c r="K35" s="44"/>
      <c r="L35" s="55"/>
      <c r="M35" s="83"/>
      <c r="N35" s="44"/>
      <c r="O35" s="55"/>
      <c r="P35" s="83"/>
      <c r="Q35" s="44"/>
      <c r="R35" s="83"/>
      <c r="S35" s="83"/>
      <c r="T35" s="44"/>
      <c r="U35" s="5"/>
      <c r="V35" s="5"/>
      <c r="W35" s="5"/>
      <c r="X35" s="5"/>
      <c r="Y35" s="5"/>
      <c r="Z35" s="6"/>
    </row>
    <row r="36" spans="2:26" ht="21" x14ac:dyDescent="0.35">
      <c r="B36" s="4"/>
      <c r="C36" s="86" t="s">
        <v>97</v>
      </c>
      <c r="D36" s="38"/>
      <c r="E36" s="40"/>
      <c r="F36" s="41"/>
      <c r="G36" s="38"/>
      <c r="H36" s="40"/>
      <c r="I36" s="41"/>
      <c r="J36" s="38"/>
      <c r="K36" s="41"/>
      <c r="L36" s="38"/>
      <c r="M36" s="40"/>
      <c r="N36" s="41"/>
      <c r="O36" s="38"/>
      <c r="P36" s="40"/>
      <c r="Q36" s="41"/>
      <c r="R36" s="40"/>
      <c r="S36" s="40"/>
      <c r="T36" s="41"/>
      <c r="U36" s="5"/>
      <c r="V36" s="5"/>
      <c r="W36" s="5"/>
      <c r="X36" s="5"/>
      <c r="Y36" s="5"/>
      <c r="Z36" s="6"/>
    </row>
    <row r="37" spans="2:26" ht="39.950000000000003" customHeight="1" x14ac:dyDescent="0.3">
      <c r="B37" s="4"/>
      <c r="C37" s="85" t="s">
        <v>95</v>
      </c>
      <c r="D37" s="38"/>
      <c r="E37" s="40"/>
      <c r="F37" s="41"/>
      <c r="G37" s="38"/>
      <c r="H37" s="40"/>
      <c r="I37" s="41"/>
      <c r="J37" s="38"/>
      <c r="K37" s="41"/>
      <c r="L37" s="38"/>
      <c r="M37" s="40"/>
      <c r="N37" s="41"/>
      <c r="O37" s="38"/>
      <c r="P37" s="40"/>
      <c r="Q37" s="41"/>
      <c r="R37" s="40"/>
      <c r="S37" s="40"/>
      <c r="T37" s="41"/>
      <c r="U37" s="5"/>
      <c r="V37" s="5"/>
      <c r="W37" s="5"/>
      <c r="X37" s="5"/>
      <c r="Y37" s="5"/>
      <c r="Z37" s="6"/>
    </row>
    <row r="38" spans="2:26" ht="39.950000000000003" customHeight="1" x14ac:dyDescent="0.3">
      <c r="B38" s="4"/>
      <c r="C38" s="85" t="s">
        <v>96</v>
      </c>
      <c r="D38" s="38"/>
      <c r="E38" s="40"/>
      <c r="F38" s="41"/>
      <c r="G38" s="38"/>
      <c r="H38" s="40"/>
      <c r="I38" s="41"/>
      <c r="J38" s="38"/>
      <c r="K38" s="41"/>
      <c r="L38" s="38"/>
      <c r="M38" s="40"/>
      <c r="N38" s="41"/>
      <c r="O38" s="38"/>
      <c r="P38" s="40"/>
      <c r="Q38" s="41"/>
      <c r="R38" s="40"/>
      <c r="S38" s="40"/>
      <c r="T38" s="41"/>
      <c r="U38" s="5"/>
      <c r="V38" s="5"/>
      <c r="W38" s="5"/>
      <c r="X38" s="5"/>
      <c r="Y38" s="5"/>
      <c r="Z38" s="6"/>
    </row>
    <row r="39" spans="2:26" ht="39.950000000000003" customHeight="1" x14ac:dyDescent="0.3">
      <c r="B39" s="4"/>
      <c r="C39" s="85" t="s">
        <v>107</v>
      </c>
      <c r="D39" s="38"/>
      <c r="E39" s="40"/>
      <c r="F39" s="41"/>
      <c r="G39" s="38"/>
      <c r="H39" s="40"/>
      <c r="I39" s="41"/>
      <c r="J39" s="38"/>
      <c r="K39" s="41"/>
      <c r="L39" s="38"/>
      <c r="M39" s="40"/>
      <c r="N39" s="41"/>
      <c r="O39" s="38"/>
      <c r="P39" s="40"/>
      <c r="Q39" s="41"/>
      <c r="R39" s="40"/>
      <c r="S39" s="40"/>
      <c r="T39" s="41"/>
      <c r="U39" s="5"/>
      <c r="V39" s="5"/>
      <c r="W39" s="5"/>
      <c r="X39" s="5"/>
      <c r="Y39" s="5"/>
      <c r="Z39" s="6"/>
    </row>
    <row r="40" spans="2:26" ht="30.95" customHeight="1" x14ac:dyDescent="0.3">
      <c r="B40" s="4"/>
      <c r="C40" s="85"/>
      <c r="D40" s="38"/>
      <c r="E40" s="40"/>
      <c r="F40" s="41"/>
      <c r="G40" s="38"/>
      <c r="H40" s="40"/>
      <c r="I40" s="41"/>
      <c r="J40" s="38"/>
      <c r="K40" s="41"/>
      <c r="L40" s="38"/>
      <c r="M40" s="40"/>
      <c r="N40" s="41"/>
      <c r="O40" s="38"/>
      <c r="P40" s="40"/>
      <c r="Q40" s="41"/>
      <c r="R40" s="40"/>
      <c r="S40" s="40"/>
      <c r="T40" s="41"/>
      <c r="U40" s="5"/>
      <c r="V40" s="5"/>
      <c r="W40" s="5"/>
      <c r="X40" s="5"/>
      <c r="Y40" s="5"/>
      <c r="Z40" s="6"/>
    </row>
    <row r="41" spans="2:26" ht="15.75" thickBot="1" x14ac:dyDescent="0.3">
      <c r="B41" s="4"/>
      <c r="C41" s="59"/>
      <c r="D41" s="39"/>
      <c r="E41" s="84"/>
      <c r="F41" s="43"/>
      <c r="G41" s="39"/>
      <c r="H41" s="84"/>
      <c r="I41" s="43"/>
      <c r="J41" s="39"/>
      <c r="K41" s="43"/>
      <c r="L41" s="39"/>
      <c r="M41" s="84"/>
      <c r="N41" s="43"/>
      <c r="O41" s="39"/>
      <c r="P41" s="84"/>
      <c r="Q41" s="43"/>
      <c r="R41" s="84"/>
      <c r="S41" s="84"/>
      <c r="T41" s="43"/>
      <c r="U41" s="5"/>
      <c r="V41" s="5"/>
      <c r="W41" s="5"/>
      <c r="X41" s="5"/>
      <c r="Y41" s="5"/>
      <c r="Z41" s="6"/>
    </row>
    <row r="42" spans="2:26" x14ac:dyDescent="0.25">
      <c r="B42" s="4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6"/>
    </row>
    <row r="43" spans="2:26" ht="15.75" thickBot="1" x14ac:dyDescent="0.3">
      <c r="B43" s="8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10"/>
    </row>
  </sheetData>
  <pageMargins left="0.7" right="0.7" top="0.75" bottom="0.75" header="0.3" footer="0.3"/>
  <pageSetup paperSize="9" orientation="portrait" horizontalDpi="0" verticalDpi="0"/>
  <drawing r:id="rId1"/>
  <picture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3"/>
  <dimension ref="B1:AH46"/>
  <sheetViews>
    <sheetView showGridLines="0" topLeftCell="A13" workbookViewId="0">
      <selection activeCell="I16" sqref="I16"/>
    </sheetView>
  </sheetViews>
  <sheetFormatPr defaultColWidth="8.85546875" defaultRowHeight="15" x14ac:dyDescent="0.25"/>
  <cols>
    <col min="2" max="2" width="23.85546875" bestFit="1" customWidth="1"/>
    <col min="5" max="5" width="13.7109375" bestFit="1" customWidth="1"/>
    <col min="6" max="6" width="19.42578125" bestFit="1" customWidth="1"/>
    <col min="7" max="7" width="9.42578125" bestFit="1" customWidth="1"/>
    <col min="8" max="8" width="16.28515625" bestFit="1" customWidth="1"/>
    <col min="9" max="10" width="18.7109375" bestFit="1" customWidth="1"/>
    <col min="11" max="11" width="17.85546875" bestFit="1" customWidth="1"/>
    <col min="12" max="12" width="28.140625" bestFit="1" customWidth="1"/>
    <col min="14" max="14" width="13.85546875" bestFit="1" customWidth="1"/>
    <col min="20" max="20" width="17.85546875" bestFit="1" customWidth="1"/>
    <col min="23" max="23" width="13.85546875" bestFit="1" customWidth="1"/>
    <col min="26" max="26" width="16.28515625" bestFit="1" customWidth="1"/>
    <col min="27" max="27" width="28.140625" bestFit="1" customWidth="1"/>
  </cols>
  <sheetData>
    <row r="1" spans="2:34" ht="15.75" thickBot="1" x14ac:dyDescent="0.3"/>
    <row r="2" spans="2:34" x14ac:dyDescent="0.25">
      <c r="B2" s="1" t="s">
        <v>4</v>
      </c>
      <c r="C2" s="2"/>
      <c r="D2" s="2"/>
      <c r="E2" s="2"/>
      <c r="F2" s="3"/>
      <c r="G2" s="5"/>
      <c r="H2" s="5"/>
      <c r="I2" s="5"/>
      <c r="K2" s="1" t="s">
        <v>17</v>
      </c>
      <c r="L2" s="2"/>
      <c r="M2" s="2"/>
      <c r="N2" s="2"/>
      <c r="O2" s="3"/>
      <c r="P2" s="5"/>
      <c r="Q2" s="5"/>
      <c r="R2" s="5"/>
      <c r="S2" s="5"/>
      <c r="T2" s="1" t="s">
        <v>39</v>
      </c>
      <c r="U2" s="2"/>
      <c r="V2" s="2"/>
      <c r="W2" s="2"/>
      <c r="X2" s="3"/>
      <c r="AC2" s="5"/>
      <c r="AD2" s="5"/>
      <c r="AE2" s="5"/>
      <c r="AF2" s="5"/>
      <c r="AG2" s="5"/>
      <c r="AH2" s="5"/>
    </row>
    <row r="3" spans="2:34" x14ac:dyDescent="0.25">
      <c r="B3" s="4"/>
      <c r="C3" s="5"/>
      <c r="D3" s="5"/>
      <c r="E3" s="5"/>
      <c r="F3" s="6"/>
      <c r="G3" s="5"/>
      <c r="H3" s="5"/>
      <c r="I3" s="5"/>
      <c r="K3" s="4"/>
      <c r="L3" s="5"/>
      <c r="M3" s="5"/>
      <c r="N3" s="5"/>
      <c r="O3" s="6"/>
      <c r="P3" s="5"/>
      <c r="Q3" s="5"/>
      <c r="R3" s="5"/>
      <c r="S3" s="5"/>
      <c r="T3" s="4"/>
      <c r="U3" s="5"/>
      <c r="V3" s="5"/>
      <c r="W3" s="5"/>
      <c r="X3" s="6"/>
      <c r="AC3" s="5"/>
      <c r="AD3" s="5"/>
      <c r="AE3" s="5"/>
      <c r="AF3" s="5"/>
      <c r="AG3" s="5"/>
      <c r="AH3" s="5"/>
    </row>
    <row r="4" spans="2:34" x14ac:dyDescent="0.25">
      <c r="B4" s="4" t="s">
        <v>6</v>
      </c>
      <c r="C4" s="7">
        <v>80</v>
      </c>
      <c r="D4" s="5"/>
      <c r="E4" s="5" t="s">
        <v>10</v>
      </c>
      <c r="F4" s="6">
        <f>IF(Invulveld!E6&lt;'Test afmetingen en gewicht'!C4,0,1)</f>
        <v>0</v>
      </c>
      <c r="G4" s="5"/>
      <c r="H4" s="5"/>
      <c r="I4" s="5"/>
      <c r="K4" s="4" t="s">
        <v>6</v>
      </c>
      <c r="L4" s="7">
        <v>253</v>
      </c>
      <c r="M4" s="5"/>
      <c r="N4" s="5" t="s">
        <v>10</v>
      </c>
      <c r="O4" s="6">
        <f>IF(Invulveld!E6&lt;'Test afmetingen en gewicht'!L4,0,1)</f>
        <v>0</v>
      </c>
      <c r="P4" s="5"/>
      <c r="Q4" s="5"/>
      <c r="R4" s="5"/>
      <c r="S4" s="5"/>
      <c r="T4" s="4" t="s">
        <v>6</v>
      </c>
      <c r="U4" s="5">
        <v>249</v>
      </c>
      <c r="V4" s="5"/>
      <c r="W4" s="5" t="s">
        <v>10</v>
      </c>
      <c r="X4" s="6">
        <f>IF(Invulveld!E6&lt;'Test afmetingen en gewicht'!U4,0,1)</f>
        <v>0</v>
      </c>
      <c r="AC4" s="5"/>
      <c r="AD4" s="5"/>
      <c r="AE4" s="5"/>
      <c r="AF4" s="5"/>
      <c r="AG4" s="5"/>
      <c r="AH4" s="5"/>
    </row>
    <row r="5" spans="2:34" x14ac:dyDescent="0.25">
      <c r="B5" s="4" t="s">
        <v>7</v>
      </c>
      <c r="C5" s="7">
        <v>60</v>
      </c>
      <c r="D5" s="5"/>
      <c r="E5" s="5" t="s">
        <v>11</v>
      </c>
      <c r="F5" s="6">
        <f>IF(Invulveld!E7&lt;'Test afmetingen en gewicht'!C5,0,1)</f>
        <v>0</v>
      </c>
      <c r="G5" s="5"/>
      <c r="H5" s="5"/>
      <c r="I5" s="5"/>
      <c r="K5" s="4" t="s">
        <v>7</v>
      </c>
      <c r="L5" s="7">
        <v>139</v>
      </c>
      <c r="M5" s="5"/>
      <c r="N5" s="5" t="s">
        <v>11</v>
      </c>
      <c r="O5" s="6">
        <f>IF(Invulveld!E7&lt;'Test afmetingen en gewicht'!L5,0,1)</f>
        <v>0</v>
      </c>
      <c r="P5" s="5"/>
      <c r="Q5" s="5"/>
      <c r="R5" s="5"/>
      <c r="S5" s="5"/>
      <c r="T5" s="4" t="s">
        <v>7</v>
      </c>
      <c r="U5" s="5">
        <v>152</v>
      </c>
      <c r="V5" s="5"/>
      <c r="W5" s="5" t="s">
        <v>11</v>
      </c>
      <c r="X5" s="6">
        <f>IF(Invulveld!E7&lt;'Test afmetingen en gewicht'!U5,0,1)</f>
        <v>0</v>
      </c>
      <c r="AC5" s="5"/>
      <c r="AD5" s="5"/>
      <c r="AE5" s="5"/>
      <c r="AF5" s="5"/>
      <c r="AG5" s="5"/>
      <c r="AH5" s="5"/>
    </row>
    <row r="6" spans="2:34" x14ac:dyDescent="0.25">
      <c r="B6" s="4" t="s">
        <v>8</v>
      </c>
      <c r="C6" s="7">
        <v>60</v>
      </c>
      <c r="D6" s="5"/>
      <c r="E6" s="5" t="s">
        <v>12</v>
      </c>
      <c r="F6" s="6">
        <f>IF(Invulveld!E8&lt;'Test afmetingen en gewicht'!C6,0,1)</f>
        <v>0</v>
      </c>
      <c r="G6" s="5"/>
      <c r="H6" s="5"/>
      <c r="I6" s="5"/>
      <c r="K6" s="4" t="s">
        <v>8</v>
      </c>
      <c r="L6" s="7">
        <v>132</v>
      </c>
      <c r="M6" s="5"/>
      <c r="N6" s="5" t="s">
        <v>12</v>
      </c>
      <c r="O6" s="6">
        <f>IF(Invulveld!E8&lt;'Test afmetingen en gewicht'!L6,0,1)</f>
        <v>0</v>
      </c>
      <c r="P6" s="5"/>
      <c r="Q6" s="5"/>
      <c r="R6" s="5"/>
      <c r="S6" s="5"/>
      <c r="T6" s="4" t="s">
        <v>8</v>
      </c>
      <c r="U6" s="5">
        <v>154</v>
      </c>
      <c r="V6" s="5"/>
      <c r="W6" s="5" t="s">
        <v>12</v>
      </c>
      <c r="X6" s="6">
        <f>IF(Invulveld!E8&lt;'Test afmetingen en gewicht'!U6,0,1)</f>
        <v>0</v>
      </c>
      <c r="AC6" s="5"/>
      <c r="AD6" s="5"/>
      <c r="AE6" s="5"/>
      <c r="AF6" s="5"/>
      <c r="AG6" s="5"/>
      <c r="AH6" s="5"/>
    </row>
    <row r="7" spans="2:34" x14ac:dyDescent="0.25">
      <c r="B7" s="4"/>
      <c r="C7" s="5"/>
      <c r="D7" s="5"/>
      <c r="E7" s="5"/>
      <c r="F7" s="6"/>
      <c r="G7" s="5"/>
      <c r="H7" s="5"/>
      <c r="I7" s="5"/>
      <c r="K7" s="4"/>
      <c r="L7" s="5"/>
      <c r="M7" s="5"/>
      <c r="N7" s="5"/>
      <c r="O7" s="6"/>
      <c r="P7" s="5"/>
      <c r="Q7" s="5"/>
      <c r="R7" s="5"/>
      <c r="S7" s="5"/>
      <c r="T7" s="4"/>
      <c r="U7" s="5"/>
      <c r="V7" s="5"/>
      <c r="W7" s="5"/>
      <c r="X7" s="6"/>
      <c r="AC7" s="12"/>
      <c r="AD7" s="12"/>
      <c r="AE7" s="18"/>
      <c r="AF7" s="12"/>
      <c r="AG7" s="12"/>
      <c r="AH7" s="18"/>
    </row>
    <row r="8" spans="2:34" x14ac:dyDescent="0.25">
      <c r="B8" s="4" t="s">
        <v>9</v>
      </c>
      <c r="C8" s="7">
        <v>150</v>
      </c>
      <c r="D8" s="5"/>
      <c r="E8" s="5" t="s">
        <v>13</v>
      </c>
      <c r="F8" s="6">
        <f>IF(Invulveld!E9&lt;'Test afmetingen en gewicht'!C8,0,1)</f>
        <v>0</v>
      </c>
      <c r="G8" s="5"/>
      <c r="H8" s="5"/>
      <c r="I8" s="5"/>
      <c r="K8" s="4" t="s">
        <v>9</v>
      </c>
      <c r="L8" s="13">
        <v>1075</v>
      </c>
      <c r="M8" s="5"/>
      <c r="N8" s="5" t="s">
        <v>13</v>
      </c>
      <c r="O8" s="6">
        <f>IF(Invulveld!E9&lt;'Test afmetingen en gewicht'!C8,0,1)</f>
        <v>0</v>
      </c>
      <c r="P8" s="5"/>
      <c r="Q8" s="5"/>
      <c r="R8" s="5"/>
      <c r="S8" s="5"/>
      <c r="T8" s="4" t="s">
        <v>9</v>
      </c>
      <c r="U8" s="5">
        <v>435</v>
      </c>
      <c r="V8" s="5"/>
      <c r="W8" s="5" t="s">
        <v>13</v>
      </c>
      <c r="X8" s="6">
        <f>IF(Invulveld!E9&lt;'Test afmetingen en gewicht'!U8,0,1)</f>
        <v>0</v>
      </c>
    </row>
    <row r="9" spans="2:34" x14ac:dyDescent="0.25">
      <c r="B9" s="4" t="s">
        <v>14</v>
      </c>
      <c r="C9" s="5">
        <f>(C4*C5*C6)/1000000</f>
        <v>0.28799999999999998</v>
      </c>
      <c r="D9" s="5"/>
      <c r="E9" s="5"/>
      <c r="F9" s="6"/>
      <c r="G9" s="5"/>
      <c r="H9" s="5"/>
      <c r="I9" s="5"/>
      <c r="K9" s="4" t="s">
        <v>14</v>
      </c>
      <c r="L9" s="5">
        <f>(L4*L5*L6)/1000000</f>
        <v>4.6420440000000003</v>
      </c>
      <c r="M9" s="5"/>
      <c r="N9" s="5"/>
      <c r="O9" s="6"/>
      <c r="P9" s="5"/>
      <c r="Q9" s="5"/>
      <c r="R9" s="5"/>
      <c r="S9" s="5"/>
      <c r="T9" s="4" t="s">
        <v>14</v>
      </c>
      <c r="U9" s="5">
        <f>(U4*U5*U6)/1000000</f>
        <v>5.8285920000000004</v>
      </c>
      <c r="V9" s="5"/>
      <c r="W9" s="5"/>
      <c r="X9" s="6"/>
    </row>
    <row r="10" spans="2:34" x14ac:dyDescent="0.25">
      <c r="B10" s="4"/>
      <c r="C10" s="5"/>
      <c r="D10" s="5"/>
      <c r="E10" s="5"/>
      <c r="F10" s="6"/>
      <c r="G10" s="5"/>
      <c r="H10" s="5"/>
      <c r="I10" s="5"/>
      <c r="K10" s="4"/>
      <c r="L10" s="5"/>
      <c r="M10" s="5"/>
      <c r="N10" s="5"/>
      <c r="O10" s="6"/>
      <c r="P10" s="5"/>
      <c r="Q10" s="5"/>
      <c r="R10" s="5"/>
      <c r="S10" s="5"/>
      <c r="T10" s="4"/>
      <c r="U10" s="5"/>
      <c r="V10" s="5"/>
      <c r="W10" s="5"/>
      <c r="X10" s="6"/>
    </row>
    <row r="11" spans="2:34" x14ac:dyDescent="0.25">
      <c r="B11" s="4"/>
      <c r="C11" s="5"/>
      <c r="D11" s="5"/>
      <c r="E11" s="5" t="s">
        <v>16</v>
      </c>
      <c r="F11" s="6">
        <f>SUM(F4:F9)</f>
        <v>0</v>
      </c>
      <c r="G11" s="5"/>
      <c r="H11" s="5"/>
      <c r="I11" s="5"/>
      <c r="K11" s="4"/>
      <c r="L11" s="5"/>
      <c r="M11" s="5"/>
      <c r="N11" s="5" t="s">
        <v>16</v>
      </c>
      <c r="O11" s="6">
        <f>SUM(O4:O9)</f>
        <v>0</v>
      </c>
      <c r="P11" s="5"/>
      <c r="Q11" s="5"/>
      <c r="R11" s="5"/>
      <c r="S11" s="5"/>
      <c r="T11" s="4"/>
      <c r="U11" s="5"/>
      <c r="V11" s="5"/>
      <c r="W11" s="5" t="s">
        <v>16</v>
      </c>
      <c r="X11" s="6">
        <f>SUM(X4:X9)</f>
        <v>0</v>
      </c>
    </row>
    <row r="12" spans="2:34" x14ac:dyDescent="0.25">
      <c r="B12" s="4"/>
      <c r="C12" s="5"/>
      <c r="D12" s="5"/>
      <c r="E12" s="5"/>
      <c r="F12" s="6"/>
      <c r="G12" s="5"/>
      <c r="H12" s="5"/>
      <c r="I12" s="5"/>
      <c r="K12" s="4"/>
      <c r="L12" s="5"/>
      <c r="M12" s="5"/>
      <c r="N12" s="5"/>
      <c r="O12" s="6"/>
      <c r="P12" s="5"/>
      <c r="Q12" s="5"/>
      <c r="R12" s="5"/>
      <c r="S12" s="5"/>
      <c r="T12" s="4"/>
      <c r="U12" s="5"/>
      <c r="V12" s="5"/>
      <c r="W12" s="5"/>
      <c r="X12" s="6"/>
    </row>
    <row r="13" spans="2:34" ht="15.75" thickBot="1" x14ac:dyDescent="0.3">
      <c r="B13" s="8"/>
      <c r="C13" s="9"/>
      <c r="D13" s="9"/>
      <c r="E13" s="9" t="s">
        <v>15</v>
      </c>
      <c r="F13" s="11" t="str">
        <f>IF(F11=0,"Ja","Nee")</f>
        <v>Ja</v>
      </c>
      <c r="G13" s="25"/>
      <c r="H13" s="25"/>
      <c r="I13" s="25"/>
      <c r="K13" s="8"/>
      <c r="L13" s="9"/>
      <c r="M13" s="9"/>
      <c r="N13" s="9" t="s">
        <v>15</v>
      </c>
      <c r="O13" s="11" t="str">
        <f>IF(O11=0,"Ja","Nee")</f>
        <v>Ja</v>
      </c>
      <c r="P13" s="25"/>
      <c r="Q13" s="25"/>
      <c r="R13" s="25"/>
      <c r="S13" s="25"/>
      <c r="T13" s="26"/>
      <c r="U13" s="27"/>
      <c r="V13" s="27"/>
      <c r="W13" s="9" t="s">
        <v>15</v>
      </c>
      <c r="X13" s="11" t="str">
        <f>IF(X11=0, "Ja", "Nee")</f>
        <v>Ja</v>
      </c>
    </row>
    <row r="14" spans="2:34" ht="15.75" thickBot="1" x14ac:dyDescent="0.3"/>
    <row r="15" spans="2:34" x14ac:dyDescent="0.25">
      <c r="B15" s="1" t="s">
        <v>5</v>
      </c>
      <c r="C15" s="2"/>
      <c r="D15" s="2"/>
      <c r="E15" s="2"/>
      <c r="F15" s="3"/>
      <c r="G15" s="5"/>
      <c r="H15" s="5"/>
      <c r="I15" s="5"/>
      <c r="K15" s="1" t="s">
        <v>40</v>
      </c>
      <c r="L15" s="2"/>
      <c r="M15" s="2"/>
      <c r="N15" s="2"/>
      <c r="O15" s="3"/>
      <c r="P15" s="5"/>
      <c r="Q15" s="5"/>
      <c r="R15" s="5"/>
      <c r="S15" s="5"/>
      <c r="T15" s="1" t="s">
        <v>42</v>
      </c>
      <c r="U15" s="2"/>
      <c r="V15" s="2"/>
      <c r="W15" s="2"/>
      <c r="X15" s="3"/>
    </row>
    <row r="16" spans="2:34" x14ac:dyDescent="0.25">
      <c r="B16" s="4"/>
      <c r="C16" s="5"/>
      <c r="D16" s="5"/>
      <c r="E16" s="5"/>
      <c r="F16" s="6"/>
      <c r="G16" s="5"/>
      <c r="H16" s="5"/>
      <c r="I16" s="5"/>
      <c r="K16" s="4"/>
      <c r="L16" s="5"/>
      <c r="M16" s="5"/>
      <c r="N16" s="5"/>
      <c r="O16" s="6"/>
      <c r="P16" s="5"/>
      <c r="Q16" s="5"/>
      <c r="R16" s="5"/>
      <c r="S16" s="5"/>
      <c r="T16" s="4"/>
      <c r="U16" s="5"/>
      <c r="V16" s="5"/>
      <c r="W16" s="5"/>
      <c r="X16" s="6"/>
    </row>
    <row r="17" spans="2:24" x14ac:dyDescent="0.25">
      <c r="B17" s="4" t="s">
        <v>6</v>
      </c>
      <c r="C17" s="7">
        <v>150</v>
      </c>
      <c r="D17" s="5"/>
      <c r="E17" s="5" t="s">
        <v>10</v>
      </c>
      <c r="F17" s="6">
        <f>IF(Invulveld!E6&lt;'Test afmetingen en gewicht'!C17,0,1)</f>
        <v>0</v>
      </c>
      <c r="G17" s="5"/>
      <c r="H17" s="5"/>
      <c r="I17" s="5"/>
      <c r="K17" s="4" t="s">
        <v>6</v>
      </c>
      <c r="L17" s="5">
        <v>204</v>
      </c>
      <c r="M17" s="5"/>
      <c r="N17" s="5" t="s">
        <v>10</v>
      </c>
      <c r="O17" s="6">
        <f>IF(Invulveld!E6&lt;L17,0,1)</f>
        <v>0</v>
      </c>
      <c r="P17" s="5"/>
      <c r="Q17" s="5"/>
      <c r="R17" s="5"/>
      <c r="S17" s="5"/>
      <c r="T17" s="4" t="s">
        <v>6</v>
      </c>
      <c r="U17" s="5">
        <v>238</v>
      </c>
      <c r="V17" s="5"/>
      <c r="W17" s="5" t="s">
        <v>10</v>
      </c>
      <c r="X17" s="6">
        <f>IF(Invulveld!E6&lt;'Test afmetingen en gewicht'!U17,0,1)</f>
        <v>0</v>
      </c>
    </row>
    <row r="18" spans="2:24" x14ac:dyDescent="0.25">
      <c r="B18" s="4" t="s">
        <v>7</v>
      </c>
      <c r="C18" s="7">
        <v>90</v>
      </c>
      <c r="D18" s="5"/>
      <c r="E18" s="5" t="s">
        <v>11</v>
      </c>
      <c r="F18" s="6">
        <f>IF(Invulveld!E7&lt;'Test afmetingen en gewicht'!C18,0,1)</f>
        <v>0</v>
      </c>
      <c r="G18" s="5"/>
      <c r="H18" s="5"/>
      <c r="I18" s="5"/>
      <c r="K18" s="4" t="s">
        <v>7</v>
      </c>
      <c r="L18" s="5">
        <v>122</v>
      </c>
      <c r="M18" s="5"/>
      <c r="N18" s="5" t="s">
        <v>11</v>
      </c>
      <c r="O18" s="6">
        <f>IF(Invulveld!E7&lt;L18,0,1)</f>
        <v>0</v>
      </c>
      <c r="P18" s="5"/>
      <c r="Q18" s="5"/>
      <c r="R18" s="5"/>
      <c r="S18" s="5"/>
      <c r="T18" s="4" t="s">
        <v>7</v>
      </c>
      <c r="U18" s="5">
        <v>150</v>
      </c>
      <c r="V18" s="5"/>
      <c r="W18" s="5" t="s">
        <v>11</v>
      </c>
      <c r="X18" s="6">
        <f>IF(Invulveld!E7&lt;'Test afmetingen en gewicht'!U18,0,1)</f>
        <v>0</v>
      </c>
    </row>
    <row r="19" spans="2:24" x14ac:dyDescent="0.25">
      <c r="B19" s="4" t="s">
        <v>8</v>
      </c>
      <c r="C19" s="7">
        <v>100</v>
      </c>
      <c r="D19" s="5"/>
      <c r="E19" s="5" t="s">
        <v>12</v>
      </c>
      <c r="F19" s="6">
        <f>IF(Invulveld!E8&lt;'Test afmetingen en gewicht'!C19,0,1)</f>
        <v>0</v>
      </c>
      <c r="G19" s="5"/>
      <c r="H19" s="5"/>
      <c r="I19" s="5"/>
      <c r="K19" s="4" t="s">
        <v>8</v>
      </c>
      <c r="L19" s="5">
        <v>136</v>
      </c>
      <c r="M19" s="5"/>
      <c r="N19" s="5" t="s">
        <v>12</v>
      </c>
      <c r="O19" s="6">
        <f>IF(Invulveld!E8&lt;L19,0,1)</f>
        <v>0</v>
      </c>
      <c r="P19" s="5"/>
      <c r="Q19" s="5"/>
      <c r="R19" s="5"/>
      <c r="S19" s="5"/>
      <c r="T19" s="4" t="s">
        <v>8</v>
      </c>
      <c r="U19" s="5">
        <v>136</v>
      </c>
      <c r="V19" s="5"/>
      <c r="W19" s="5" t="s">
        <v>12</v>
      </c>
      <c r="X19" s="6">
        <f>IF(Invulveld!E8&lt;'Test afmetingen en gewicht'!U19,0,1)</f>
        <v>0</v>
      </c>
    </row>
    <row r="20" spans="2:24" x14ac:dyDescent="0.25">
      <c r="B20" s="4"/>
      <c r="C20" s="7"/>
      <c r="D20" s="5"/>
      <c r="E20" s="5"/>
      <c r="F20" s="6"/>
      <c r="G20" s="5"/>
      <c r="H20" s="5"/>
      <c r="I20" s="5"/>
      <c r="K20" s="4"/>
      <c r="L20" s="5"/>
      <c r="M20" s="5"/>
      <c r="N20" s="5"/>
      <c r="O20" s="6"/>
      <c r="P20" s="5"/>
      <c r="Q20" s="5"/>
      <c r="R20" s="5"/>
      <c r="S20" s="5"/>
      <c r="T20" s="4"/>
      <c r="U20" s="5"/>
      <c r="V20" s="5"/>
      <c r="W20" s="5"/>
      <c r="X20" s="6"/>
    </row>
    <row r="21" spans="2:24" x14ac:dyDescent="0.25">
      <c r="B21" s="4" t="s">
        <v>9</v>
      </c>
      <c r="C21" s="7">
        <v>300</v>
      </c>
      <c r="D21" s="5"/>
      <c r="E21" s="5" t="s">
        <v>13</v>
      </c>
      <c r="F21" s="6">
        <f>IF(Invulveld!E9&lt;'Test afmetingen en gewicht'!C21,0,1)</f>
        <v>0</v>
      </c>
      <c r="G21" s="5"/>
      <c r="H21" s="5"/>
      <c r="I21" s="5"/>
      <c r="K21" s="4" t="s">
        <v>9</v>
      </c>
      <c r="L21" s="5">
        <v>795</v>
      </c>
      <c r="M21" s="5"/>
      <c r="N21" s="5" t="s">
        <v>13</v>
      </c>
      <c r="O21" s="6">
        <f>IF(Invulveld!E9&lt;L21,0,1)</f>
        <v>0</v>
      </c>
      <c r="P21" s="5"/>
      <c r="Q21" s="5"/>
      <c r="R21" s="5"/>
      <c r="S21" s="5"/>
      <c r="T21" s="4" t="s">
        <v>9</v>
      </c>
      <c r="U21" s="19">
        <v>305</v>
      </c>
      <c r="V21" s="5"/>
      <c r="W21" s="5" t="s">
        <v>13</v>
      </c>
      <c r="X21" s="6">
        <f>IF(Invulveld!E9&lt;'Test afmetingen en gewicht'!U21,0,1)</f>
        <v>0</v>
      </c>
    </row>
    <row r="22" spans="2:24" x14ac:dyDescent="0.25">
      <c r="B22" s="4" t="s">
        <v>14</v>
      </c>
      <c r="C22" s="12">
        <f>(C17*C18*C19)/1000000</f>
        <v>1.35</v>
      </c>
      <c r="D22" s="5"/>
      <c r="E22" s="5"/>
      <c r="F22" s="6"/>
      <c r="G22" s="5"/>
      <c r="H22" s="5"/>
      <c r="I22" s="5"/>
      <c r="K22" s="4" t="s">
        <v>14</v>
      </c>
      <c r="L22" s="5">
        <f>(L17*L18*L19)/1000000</f>
        <v>3.3847680000000002</v>
      </c>
      <c r="M22" s="5"/>
      <c r="N22" s="5"/>
      <c r="O22" s="6"/>
      <c r="P22" s="5"/>
      <c r="Q22" s="5"/>
      <c r="R22" s="5"/>
      <c r="S22" s="5"/>
      <c r="T22" s="4" t="s">
        <v>14</v>
      </c>
      <c r="U22" s="5">
        <f>(U17*U18*U19)/1000000</f>
        <v>4.8552</v>
      </c>
      <c r="V22" s="5"/>
      <c r="W22" s="5"/>
      <c r="X22" s="6"/>
    </row>
    <row r="23" spans="2:24" x14ac:dyDescent="0.25">
      <c r="B23" s="4"/>
      <c r="C23" s="5"/>
      <c r="D23" s="5"/>
      <c r="E23" s="5"/>
      <c r="F23" s="6"/>
      <c r="G23" s="5"/>
      <c r="H23" s="5"/>
      <c r="I23" s="5"/>
      <c r="K23" s="4"/>
      <c r="L23" s="5"/>
      <c r="M23" s="5"/>
      <c r="N23" s="5"/>
      <c r="O23" s="6"/>
      <c r="P23" s="5"/>
      <c r="Q23" s="5"/>
      <c r="R23" s="5"/>
      <c r="S23" s="5"/>
      <c r="T23" s="4"/>
      <c r="U23" s="5"/>
      <c r="V23" s="5"/>
      <c r="W23" s="5"/>
      <c r="X23" s="6"/>
    </row>
    <row r="24" spans="2:24" x14ac:dyDescent="0.25">
      <c r="B24" s="4"/>
      <c r="C24" s="5"/>
      <c r="D24" s="5"/>
      <c r="E24" s="5" t="s">
        <v>16</v>
      </c>
      <c r="F24" s="6">
        <f>SUM(F17:F22)</f>
        <v>0</v>
      </c>
      <c r="G24" s="5"/>
      <c r="H24" s="5"/>
      <c r="I24" s="5"/>
      <c r="K24" s="4"/>
      <c r="L24" s="5"/>
      <c r="M24" s="5"/>
      <c r="N24" s="5" t="s">
        <v>16</v>
      </c>
      <c r="O24" s="6">
        <f>SUM(O17:O22)</f>
        <v>0</v>
      </c>
      <c r="P24" s="5"/>
      <c r="Q24" s="5"/>
      <c r="R24" s="5"/>
      <c r="S24" s="5"/>
      <c r="T24" s="4"/>
      <c r="U24" s="5"/>
      <c r="V24" s="5"/>
      <c r="W24" s="5" t="s">
        <v>16</v>
      </c>
      <c r="X24" s="6">
        <f>SUM(X17:X22)</f>
        <v>0</v>
      </c>
    </row>
    <row r="25" spans="2:24" x14ac:dyDescent="0.25">
      <c r="B25" s="4"/>
      <c r="C25" s="5"/>
      <c r="D25" s="5"/>
      <c r="E25" s="5"/>
      <c r="F25" s="6"/>
      <c r="G25" s="5"/>
      <c r="H25" s="5"/>
      <c r="I25" s="5"/>
      <c r="K25" s="4"/>
      <c r="L25" s="5"/>
      <c r="M25" s="5"/>
      <c r="N25" s="5"/>
      <c r="O25" s="6"/>
      <c r="P25" s="5"/>
      <c r="Q25" s="5"/>
      <c r="R25" s="5"/>
      <c r="S25" s="5"/>
      <c r="T25" s="4"/>
      <c r="U25" s="5"/>
      <c r="V25" s="5"/>
      <c r="W25" s="5"/>
      <c r="X25" s="6"/>
    </row>
    <row r="26" spans="2:24" ht="15.75" thickBot="1" x14ac:dyDescent="0.3">
      <c r="B26" s="8"/>
      <c r="C26" s="9"/>
      <c r="D26" s="9"/>
      <c r="E26" s="9" t="s">
        <v>15</v>
      </c>
      <c r="F26" s="11" t="str">
        <f>IF(F24=0,"Ja","Nee")</f>
        <v>Ja</v>
      </c>
      <c r="G26" s="25"/>
      <c r="H26" s="25"/>
      <c r="I26" s="25"/>
      <c r="K26" s="8"/>
      <c r="L26" s="9"/>
      <c r="M26" s="9"/>
      <c r="N26" s="9" t="s">
        <v>15</v>
      </c>
      <c r="O26" s="11" t="str">
        <f>IF(O24=0, "Ja", "Nee")</f>
        <v>Ja</v>
      </c>
      <c r="P26" s="25"/>
      <c r="Q26" s="25"/>
      <c r="R26" s="25"/>
      <c r="S26" s="25"/>
      <c r="T26" s="26"/>
      <c r="U26" s="27"/>
      <c r="V26" s="27"/>
      <c r="W26" s="9" t="s">
        <v>15</v>
      </c>
      <c r="X26" s="11" t="str">
        <f>IF(X24=0, "Ja", "Nee")</f>
        <v>Ja</v>
      </c>
    </row>
    <row r="27" spans="2:24" ht="15.75" thickBot="1" x14ac:dyDescent="0.3"/>
    <row r="28" spans="2:24" x14ac:dyDescent="0.25">
      <c r="B28" s="1" t="s">
        <v>19</v>
      </c>
      <c r="C28" s="3"/>
      <c r="H28" s="28" t="s">
        <v>49</v>
      </c>
      <c r="I28" s="29">
        <f>Invulveld!$I$13</f>
        <v>8</v>
      </c>
      <c r="L28" s="1" t="s">
        <v>28</v>
      </c>
      <c r="M28" s="3"/>
    </row>
    <row r="29" spans="2:24" ht="15.75" thickBot="1" x14ac:dyDescent="0.3">
      <c r="B29" s="4"/>
      <c r="C29" s="6"/>
      <c r="H29" s="160" t="s">
        <v>33</v>
      </c>
      <c r="I29" s="161">
        <f>Invulveld!$I$14*Invulveld!$I$15</f>
        <v>225</v>
      </c>
      <c r="L29" s="4"/>
      <c r="M29" s="6"/>
    </row>
    <row r="30" spans="2:24" ht="15.75" thickBot="1" x14ac:dyDescent="0.3">
      <c r="B30" s="4" t="s">
        <v>4</v>
      </c>
      <c r="C30" s="15" t="s">
        <v>20</v>
      </c>
      <c r="G30" s="162" t="s">
        <v>46</v>
      </c>
      <c r="H30" s="163" t="s">
        <v>47</v>
      </c>
      <c r="I30" s="164" t="s">
        <v>73</v>
      </c>
      <c r="J30" s="165" t="s">
        <v>48</v>
      </c>
      <c r="L30" s="4" t="s">
        <v>29</v>
      </c>
      <c r="M30" s="21">
        <v>1.2589999999999999</v>
      </c>
    </row>
    <row r="31" spans="2:24" x14ac:dyDescent="0.25">
      <c r="B31" s="4" t="s">
        <v>21</v>
      </c>
      <c r="C31" s="15" t="s">
        <v>20</v>
      </c>
      <c r="G31" s="28">
        <v>15</v>
      </c>
      <c r="H31" s="36">
        <v>2.64</v>
      </c>
      <c r="I31" s="36">
        <f>H31*$I$28</f>
        <v>21.12</v>
      </c>
      <c r="J31" s="34">
        <f t="shared" ref="J31:J39" si="0">H31*$I$28*$I$29</f>
        <v>4752</v>
      </c>
      <c r="L31" s="20" t="s">
        <v>30</v>
      </c>
      <c r="M31" s="22">
        <f>Invulveld!E15</f>
        <v>20</v>
      </c>
    </row>
    <row r="32" spans="2:24" x14ac:dyDescent="0.25">
      <c r="B32" s="4" t="s">
        <v>39</v>
      </c>
      <c r="C32" s="15" t="s">
        <v>20</v>
      </c>
      <c r="G32" s="30">
        <f t="shared" ref="G32:G38" si="1">G31+1</f>
        <v>16</v>
      </c>
      <c r="H32" s="33">
        <v>3.04</v>
      </c>
      <c r="I32" s="33">
        <f t="shared" ref="I32:I39" si="2">H32*$I$28</f>
        <v>24.32</v>
      </c>
      <c r="J32" s="31">
        <f t="shared" si="0"/>
        <v>5472</v>
      </c>
      <c r="L32" s="4" t="s">
        <v>31</v>
      </c>
      <c r="M32" s="23">
        <v>7.8</v>
      </c>
    </row>
    <row r="33" spans="2:13" ht="15.75" thickBot="1" x14ac:dyDescent="0.3">
      <c r="B33" s="4" t="s">
        <v>42</v>
      </c>
      <c r="C33" s="15" t="s">
        <v>23</v>
      </c>
      <c r="G33" s="30">
        <f t="shared" si="1"/>
        <v>17</v>
      </c>
      <c r="H33" s="33">
        <v>3.48</v>
      </c>
      <c r="I33" s="33">
        <f t="shared" si="2"/>
        <v>27.84</v>
      </c>
      <c r="J33" s="31">
        <f t="shared" si="0"/>
        <v>6264</v>
      </c>
      <c r="L33" s="8" t="s">
        <v>38</v>
      </c>
      <c r="M33" s="24">
        <v>80</v>
      </c>
    </row>
    <row r="34" spans="2:13" x14ac:dyDescent="0.25">
      <c r="B34" s="4" t="s">
        <v>41</v>
      </c>
      <c r="C34" s="15" t="s">
        <v>23</v>
      </c>
      <c r="G34" s="30">
        <f t="shared" si="1"/>
        <v>18</v>
      </c>
      <c r="H34" s="33">
        <v>4.01</v>
      </c>
      <c r="I34" s="33">
        <f t="shared" si="2"/>
        <v>32.08</v>
      </c>
      <c r="J34" s="31">
        <f t="shared" si="0"/>
        <v>7218</v>
      </c>
    </row>
    <row r="35" spans="2:13" ht="15.75" thickBot="1" x14ac:dyDescent="0.3">
      <c r="B35" s="8" t="s">
        <v>22</v>
      </c>
      <c r="C35" s="11" t="s">
        <v>23</v>
      </c>
      <c r="G35" s="30">
        <f t="shared" si="1"/>
        <v>19</v>
      </c>
      <c r="H35" s="33">
        <v>4.6219999999999999</v>
      </c>
      <c r="I35" s="33">
        <f t="shared" si="2"/>
        <v>36.975999999999999</v>
      </c>
      <c r="J35" s="31">
        <f t="shared" si="0"/>
        <v>8319.6</v>
      </c>
    </row>
    <row r="36" spans="2:13" ht="15.75" thickBot="1" x14ac:dyDescent="0.3">
      <c r="G36" s="30">
        <f t="shared" si="1"/>
        <v>20</v>
      </c>
      <c r="H36" s="33">
        <v>5.41</v>
      </c>
      <c r="I36" s="33">
        <f t="shared" si="2"/>
        <v>43.28</v>
      </c>
      <c r="J36" s="31">
        <f t="shared" si="0"/>
        <v>9738</v>
      </c>
    </row>
    <row r="37" spans="2:13" x14ac:dyDescent="0.25">
      <c r="B37" s="1" t="s">
        <v>36</v>
      </c>
      <c r="C37" s="3"/>
      <c r="G37" s="30">
        <f t="shared" si="1"/>
        <v>21</v>
      </c>
      <c r="H37" s="33">
        <v>6.38</v>
      </c>
      <c r="I37" s="33">
        <f t="shared" si="2"/>
        <v>51.04</v>
      </c>
      <c r="J37" s="31">
        <f t="shared" si="0"/>
        <v>11484</v>
      </c>
    </row>
    <row r="38" spans="2:13" x14ac:dyDescent="0.25">
      <c r="B38" s="14"/>
      <c r="C38" s="6"/>
      <c r="G38" s="30">
        <f t="shared" si="1"/>
        <v>22</v>
      </c>
      <c r="H38" s="33">
        <v>7.48</v>
      </c>
      <c r="I38" s="33">
        <f t="shared" si="2"/>
        <v>59.84</v>
      </c>
      <c r="J38" s="31">
        <f t="shared" si="0"/>
        <v>13464</v>
      </c>
    </row>
    <row r="39" spans="2:13" ht="15.75" thickBot="1" x14ac:dyDescent="0.3">
      <c r="B39" s="4" t="s">
        <v>4</v>
      </c>
      <c r="C39" s="6">
        <v>50</v>
      </c>
      <c r="G39" s="45" t="s">
        <v>51</v>
      </c>
      <c r="H39" s="35">
        <v>8.8000000000000007</v>
      </c>
      <c r="I39" s="159">
        <f t="shared" si="2"/>
        <v>70.400000000000006</v>
      </c>
      <c r="J39" s="32">
        <f t="shared" si="0"/>
        <v>15840.000000000002</v>
      </c>
    </row>
    <row r="40" spans="2:13" x14ac:dyDescent="0.25">
      <c r="B40" s="4" t="s">
        <v>5</v>
      </c>
      <c r="C40" s="6">
        <v>25</v>
      </c>
    </row>
    <row r="41" spans="2:13" x14ac:dyDescent="0.25">
      <c r="B41" s="4" t="s">
        <v>39</v>
      </c>
      <c r="C41" s="6">
        <v>70</v>
      </c>
    </row>
    <row r="42" spans="2:13" x14ac:dyDescent="0.25">
      <c r="B42" s="4" t="s">
        <v>42</v>
      </c>
      <c r="C42" s="6">
        <v>70</v>
      </c>
    </row>
    <row r="43" spans="2:13" x14ac:dyDescent="0.25">
      <c r="B43" s="4" t="s">
        <v>41</v>
      </c>
      <c r="C43" s="6">
        <v>170</v>
      </c>
    </row>
    <row r="44" spans="2:13" ht="15.75" thickBot="1" x14ac:dyDescent="0.3">
      <c r="B44" s="8" t="s">
        <v>17</v>
      </c>
      <c r="C44" s="10">
        <f>M33*M32</f>
        <v>624</v>
      </c>
    </row>
    <row r="45" spans="2:13" x14ac:dyDescent="0.25">
      <c r="F45" s="49">
        <f>Invulveld!E65</f>
        <v>2245</v>
      </c>
      <c r="G45" s="49">
        <f>Invulveld!H65</f>
        <v>3200</v>
      </c>
      <c r="H45" s="49">
        <f>Invulveld!K65</f>
        <v>7328.16</v>
      </c>
      <c r="I45" s="49">
        <f>Invulveld!N65</f>
        <v>7953.16</v>
      </c>
      <c r="J45" s="49">
        <f>Invulveld!Q65</f>
        <v>9384.2000000000007</v>
      </c>
      <c r="K45" s="49">
        <f>Invulveld!T65</f>
        <v>6595</v>
      </c>
    </row>
    <row r="46" spans="2:13" x14ac:dyDescent="0.25">
      <c r="F46" s="49">
        <f>Invulveld!E64</f>
        <v>14436</v>
      </c>
      <c r="G46" s="49">
        <f>Invulveld!H64</f>
        <v>7218</v>
      </c>
      <c r="H46" s="49">
        <f>Invulveld!K64</f>
        <v>9468</v>
      </c>
      <c r="I46" s="49">
        <f>Invulveld!N64</f>
        <v>9468</v>
      </c>
      <c r="J46" s="49">
        <f>Invulveld!Q64</f>
        <v>9468</v>
      </c>
      <c r="K46" s="49">
        <f>Invulveld!T64</f>
        <v>10326.621328767122</v>
      </c>
    </row>
  </sheetData>
  <conditionalFormatting sqref="F13:I13 F26:I26 O13:V13 X13 O26:V26 X26">
    <cfRule type="cellIs" dxfId="3" priority="9" operator="equal">
      <formula>"Nee"</formula>
    </cfRule>
    <cfRule type="cellIs" dxfId="2" priority="10" operator="equal">
      <formula>"Ja"</formula>
    </cfRule>
  </conditionalFormatting>
  <conditionalFormatting sqref="C30:C35">
    <cfRule type="cellIs" dxfId="1" priority="1" operator="equal">
      <formula>"Ja"</formula>
    </cfRule>
    <cfRule type="cellIs" dxfId="0" priority="2" operator="equal">
      <formula>"Nee"</formula>
    </cfRule>
  </conditionalFormatting>
  <pageMargins left="0.7" right="0.7" top="0.75" bottom="0.75" header="0.3" footer="0.3"/>
  <pageSetup orientation="portrait" r:id="rId1"/>
  <picture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Uitkomst 1 voertuig</vt:lpstr>
      <vt:lpstr>Invulveld</vt:lpstr>
      <vt:lpstr>Kosten grafiek</vt:lpstr>
      <vt:lpstr>Test afmetingen en gewicht</vt:lpstr>
      <vt:lpstr>Leeftijd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NickH</dc:creator>
  <cp:lastModifiedBy>S.H. Balm</cp:lastModifiedBy>
  <dcterms:created xsi:type="dcterms:W3CDTF">2016-11-14T12:18:31Z</dcterms:created>
  <dcterms:modified xsi:type="dcterms:W3CDTF">2019-12-03T08:28:23Z</dcterms:modified>
</cp:coreProperties>
</file>