
<file path=[Content_Types].xml><?xml version="1.0" encoding="utf-8"?>
<Types xmlns="http://schemas.openxmlformats.org/package/2006/content-types">
  <Default Extension="xml" ContentType="application/xml"/>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4" Type="http://schemas.openxmlformats.org/officeDocument/2006/relationships/custom-properties" Target="docProps/custom.xml"/><Relationship Id="rId1" Type="http://schemas.openxmlformats.org/officeDocument/2006/relationships/officeDocument" Target="xl/workbook.xml"/><Relationship Id="rId2" Type="http://schemas.openxmlformats.org/package/2006/relationships/metadata/core-properties" Target="docProps/core.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28209"/>
  <workbookPr codeName="ThisWorkbook" autoCompressPictures="0"/>
  <mc:AlternateContent xmlns:mc="http://schemas.openxmlformats.org/markup-compatibility/2006">
    <mc:Choice Requires="x15">
      <x15ac:absPath xmlns:x15ac="http://schemas.microsoft.com/office/spreadsheetml/2010/11/ac" url="/Users/msteinbuch/Downloads/"/>
    </mc:Choice>
  </mc:AlternateContent>
  <bookViews>
    <workbookView xWindow="0" yWindow="460" windowWidth="28800" windowHeight="17460"/>
  </bookViews>
  <sheets>
    <sheet name="TCO" sheetId="1" r:id="rId1"/>
    <sheet name="BV" sheetId="3" r:id="rId2"/>
    <sheet name="Basis" sheetId="2" r:id="rId3"/>
    <sheet name="Sheet1" sheetId="4" r:id="rId4"/>
  </sheets>
  <definedNames>
    <definedName name="_xlnm.Print_Area" localSheetId="0">TCO!$A$1:$F$40</definedName>
    <definedName name="lijstbijtelling">Basis!$A$17:$A$21</definedName>
    <definedName name="LijstEnergiedrager">Basis!$A$1:$A$6</definedName>
    <definedName name="LijstFiscaalRegime">Basis!$A$8:$A$10</definedName>
    <definedName name="LijstJaNee">Basis!$A$14:$A$15</definedName>
  </definedName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H20" i="1" l="1"/>
  <c r="G20" i="1"/>
  <c r="F20" i="1"/>
  <c r="E20" i="1"/>
  <c r="D20" i="1"/>
  <c r="C20" i="1"/>
  <c r="B20" i="1"/>
  <c r="G25" i="3"/>
  <c r="F25" i="3"/>
  <c r="K25" i="3"/>
  <c r="J25" i="3"/>
  <c r="D29" i="1"/>
  <c r="H29" i="1"/>
  <c r="G29" i="1"/>
  <c r="F29" i="1"/>
  <c r="B37" i="3"/>
  <c r="C18" i="3"/>
  <c r="C37" i="3"/>
  <c r="D18" i="3"/>
  <c r="D37" i="3"/>
  <c r="E18" i="3"/>
  <c r="E37" i="3"/>
  <c r="I18" i="3"/>
  <c r="I37" i="3"/>
  <c r="H18" i="3"/>
  <c r="H37" i="3"/>
  <c r="H36" i="1"/>
  <c r="G36" i="1"/>
  <c r="F36" i="1"/>
  <c r="E21" i="1"/>
  <c r="E36" i="1"/>
  <c r="D36" i="1"/>
  <c r="C21" i="1"/>
  <c r="C36" i="1"/>
  <c r="B21" i="1"/>
  <c r="B36" i="1"/>
  <c r="K18" i="3"/>
  <c r="K19" i="3"/>
  <c r="K20" i="3"/>
  <c r="K21" i="3"/>
  <c r="K24" i="3"/>
  <c r="K26" i="3"/>
  <c r="K22" i="3"/>
  <c r="K23" i="3"/>
  <c r="K27" i="3"/>
  <c r="K35" i="3"/>
  <c r="K36" i="3"/>
  <c r="K39" i="3"/>
  <c r="K40" i="3"/>
  <c r="K41" i="3"/>
  <c r="K43" i="3"/>
  <c r="J18" i="3"/>
  <c r="J19" i="3"/>
  <c r="J20" i="3"/>
  <c r="J21" i="3"/>
  <c r="J24" i="3"/>
  <c r="J26" i="3"/>
  <c r="J22" i="3"/>
  <c r="J23" i="3"/>
  <c r="J27" i="3"/>
  <c r="J35" i="3"/>
  <c r="J36" i="3"/>
  <c r="J39" i="3"/>
  <c r="J40" i="3"/>
  <c r="J41" i="3"/>
  <c r="J43" i="3"/>
  <c r="I19" i="3"/>
  <c r="I20" i="3"/>
  <c r="I21" i="3"/>
  <c r="I24" i="3"/>
  <c r="I26" i="3"/>
  <c r="I22" i="3"/>
  <c r="I23" i="3"/>
  <c r="I27" i="3"/>
  <c r="I35" i="3"/>
  <c r="I36" i="3"/>
  <c r="I39" i="3"/>
  <c r="I40" i="3"/>
  <c r="I41" i="3"/>
  <c r="I43" i="3"/>
  <c r="H19" i="3"/>
  <c r="H20" i="3"/>
  <c r="H21" i="3"/>
  <c r="H24" i="3"/>
  <c r="H26" i="3"/>
  <c r="H22" i="3"/>
  <c r="H23" i="3"/>
  <c r="H27" i="3"/>
  <c r="H35" i="3"/>
  <c r="H36" i="3"/>
  <c r="H39" i="3"/>
  <c r="H40" i="3"/>
  <c r="H41" i="3"/>
  <c r="H43" i="3"/>
  <c r="G18" i="3"/>
  <c r="G19" i="3"/>
  <c r="G20" i="3"/>
  <c r="G21" i="3"/>
  <c r="G24" i="3"/>
  <c r="G26" i="3"/>
  <c r="G22" i="3"/>
  <c r="G23" i="3"/>
  <c r="G27" i="3"/>
  <c r="G35" i="3"/>
  <c r="G36" i="3"/>
  <c r="G39" i="3"/>
  <c r="G40" i="3"/>
  <c r="G41" i="3"/>
  <c r="G43" i="3"/>
  <c r="F18" i="3"/>
  <c r="F19" i="3"/>
  <c r="F20" i="3"/>
  <c r="F21" i="3"/>
  <c r="F24" i="3"/>
  <c r="F26" i="3"/>
  <c r="F22" i="3"/>
  <c r="F23" i="3"/>
  <c r="F27" i="3"/>
  <c r="F35" i="3"/>
  <c r="F36" i="3"/>
  <c r="F39" i="3"/>
  <c r="F40" i="3"/>
  <c r="F41" i="3"/>
  <c r="F43" i="3"/>
  <c r="E19" i="3"/>
  <c r="E20" i="3"/>
  <c r="E21" i="3"/>
  <c r="E24" i="3"/>
  <c r="E26" i="3"/>
  <c r="E22" i="3"/>
  <c r="E23" i="3"/>
  <c r="E27" i="3"/>
  <c r="E35" i="3"/>
  <c r="E36" i="3"/>
  <c r="E39" i="3"/>
  <c r="E40" i="3"/>
  <c r="E41" i="3"/>
  <c r="E43" i="3"/>
  <c r="D19" i="3"/>
  <c r="D20" i="3"/>
  <c r="D21" i="3"/>
  <c r="D24" i="3"/>
  <c r="D26" i="3"/>
  <c r="D22" i="3"/>
  <c r="D23" i="3"/>
  <c r="D27" i="3"/>
  <c r="D35" i="3"/>
  <c r="D36" i="3"/>
  <c r="D39" i="3"/>
  <c r="D40" i="3"/>
  <c r="D41" i="3"/>
  <c r="D43" i="3"/>
  <c r="C19" i="3"/>
  <c r="C20" i="3"/>
  <c r="C21" i="3"/>
  <c r="C24" i="3"/>
  <c r="C26" i="3"/>
  <c r="C22" i="3"/>
  <c r="C23" i="3"/>
  <c r="C27" i="3"/>
  <c r="C35" i="3"/>
  <c r="C36" i="3"/>
  <c r="C39" i="3"/>
  <c r="C40" i="3"/>
  <c r="C41" i="3"/>
  <c r="C43" i="3"/>
  <c r="B36" i="3"/>
  <c r="B38" i="1"/>
  <c r="C38" i="1"/>
  <c r="D38" i="1"/>
  <c r="E38" i="1"/>
  <c r="E33" i="1"/>
  <c r="D33" i="1"/>
  <c r="C33" i="1"/>
  <c r="B33" i="1"/>
  <c r="K44" i="3"/>
  <c r="K45" i="3"/>
  <c r="K47" i="3"/>
  <c r="K49" i="3"/>
  <c r="K48" i="3"/>
  <c r="K50" i="3"/>
  <c r="K51" i="3"/>
  <c r="B35" i="3"/>
  <c r="B38" i="3"/>
  <c r="B39" i="3"/>
  <c r="B40" i="3"/>
  <c r="B41" i="3"/>
  <c r="B43" i="3"/>
  <c r="B44" i="3"/>
  <c r="B45" i="3"/>
  <c r="B47" i="3"/>
  <c r="B49" i="3"/>
  <c r="B48" i="3"/>
  <c r="B50" i="3"/>
  <c r="B51" i="3"/>
  <c r="K52" i="3"/>
  <c r="K53" i="3"/>
  <c r="K17" i="3"/>
  <c r="J44" i="3"/>
  <c r="J45" i="3"/>
  <c r="J47" i="3"/>
  <c r="J49" i="3"/>
  <c r="J48" i="3"/>
  <c r="J50" i="3"/>
  <c r="J51" i="3"/>
  <c r="J52" i="3"/>
  <c r="J53" i="3"/>
  <c r="J17" i="3"/>
  <c r="I44" i="3"/>
  <c r="I45" i="3"/>
  <c r="I47" i="3"/>
  <c r="I49" i="3"/>
  <c r="I48" i="3"/>
  <c r="I50" i="3"/>
  <c r="I51" i="3"/>
  <c r="I52" i="3"/>
  <c r="I53" i="3"/>
  <c r="I17" i="3"/>
  <c r="H44" i="3"/>
  <c r="H45" i="3"/>
  <c r="H47" i="3"/>
  <c r="H49" i="3"/>
  <c r="H48" i="3"/>
  <c r="H50" i="3"/>
  <c r="H51" i="3"/>
  <c r="H52" i="3"/>
  <c r="H53" i="3"/>
  <c r="H17" i="3"/>
  <c r="G44" i="3"/>
  <c r="G45" i="3"/>
  <c r="G47" i="3"/>
  <c r="G49" i="3"/>
  <c r="G48" i="3"/>
  <c r="G50" i="3"/>
  <c r="G51" i="3"/>
  <c r="G52" i="3"/>
  <c r="G53" i="3"/>
  <c r="G17" i="3"/>
  <c r="F44" i="3"/>
  <c r="F45" i="3"/>
  <c r="F47" i="3"/>
  <c r="F49" i="3"/>
  <c r="F48" i="3"/>
  <c r="F50" i="3"/>
  <c r="F51" i="3"/>
  <c r="F52" i="3"/>
  <c r="F53" i="3"/>
  <c r="F17" i="3"/>
  <c r="E44" i="3"/>
  <c r="E45" i="3"/>
  <c r="E47" i="3"/>
  <c r="E49" i="3"/>
  <c r="E48" i="3"/>
  <c r="E50" i="3"/>
  <c r="E51" i="3"/>
  <c r="E52" i="3"/>
  <c r="E53" i="3"/>
  <c r="E17" i="3"/>
  <c r="D44" i="3"/>
  <c r="D45" i="3"/>
  <c r="D47" i="3"/>
  <c r="D49" i="3"/>
  <c r="D48" i="3"/>
  <c r="D50" i="3"/>
  <c r="D51" i="3"/>
  <c r="D52" i="3"/>
  <c r="D53" i="3"/>
  <c r="D17" i="3"/>
  <c r="C44" i="3"/>
  <c r="C45" i="3"/>
  <c r="C47" i="3"/>
  <c r="C49" i="3"/>
  <c r="C48" i="3"/>
  <c r="C50" i="3"/>
  <c r="C51" i="3"/>
  <c r="C52" i="3"/>
  <c r="C53" i="3"/>
  <c r="C17" i="3"/>
  <c r="D21" i="1"/>
  <c r="F21" i="1"/>
  <c r="G21" i="1"/>
  <c r="H21" i="1"/>
  <c r="B22" i="1"/>
  <c r="C22" i="1"/>
  <c r="D22" i="1"/>
  <c r="E22" i="1"/>
  <c r="F22" i="1"/>
  <c r="G22" i="1"/>
  <c r="H22" i="1"/>
  <c r="B23" i="1"/>
  <c r="C23" i="1"/>
  <c r="D23" i="1"/>
  <c r="E23" i="1"/>
  <c r="F23" i="1"/>
  <c r="G23" i="1"/>
  <c r="H23" i="1"/>
  <c r="B24" i="1"/>
  <c r="C24" i="1"/>
  <c r="D24" i="1"/>
  <c r="E24" i="1"/>
  <c r="F24" i="1"/>
  <c r="G24" i="1"/>
  <c r="H24" i="1"/>
  <c r="B26" i="1"/>
  <c r="B27" i="1"/>
  <c r="B28" i="1"/>
  <c r="B30" i="1"/>
  <c r="B31" i="1"/>
  <c r="B25" i="1"/>
  <c r="C26" i="1"/>
  <c r="C27" i="1"/>
  <c r="C28" i="1"/>
  <c r="C30" i="1"/>
  <c r="C31" i="1"/>
  <c r="C25" i="1"/>
  <c r="D26" i="1"/>
  <c r="D27" i="1"/>
  <c r="D28" i="1"/>
  <c r="D30" i="1"/>
  <c r="D31" i="1"/>
  <c r="D25" i="1"/>
  <c r="E26" i="1"/>
  <c r="E27" i="1"/>
  <c r="E28" i="1"/>
  <c r="E30" i="1"/>
  <c r="E31" i="1"/>
  <c r="E25" i="1"/>
  <c r="F26" i="1"/>
  <c r="F27" i="1"/>
  <c r="F28" i="1"/>
  <c r="F30" i="1"/>
  <c r="F31" i="1"/>
  <c r="F25" i="1"/>
  <c r="G26" i="1"/>
  <c r="G27" i="1"/>
  <c r="G28" i="1"/>
  <c r="G30" i="1"/>
  <c r="G31" i="1"/>
  <c r="G25" i="1"/>
  <c r="H26" i="1"/>
  <c r="H27" i="1"/>
  <c r="H28" i="1"/>
  <c r="H30" i="1"/>
  <c r="H31" i="1"/>
  <c r="H25" i="1"/>
  <c r="B34" i="1"/>
  <c r="B35" i="1"/>
  <c r="B32" i="1"/>
  <c r="C34" i="1"/>
  <c r="C35" i="1"/>
  <c r="C32" i="1"/>
  <c r="D34" i="1"/>
  <c r="D35" i="1"/>
  <c r="D32" i="1"/>
  <c r="E34" i="1"/>
  <c r="E35" i="1"/>
  <c r="E32" i="1"/>
  <c r="F33" i="1"/>
  <c r="F34" i="1"/>
  <c r="F35" i="1"/>
  <c r="F37" i="1"/>
  <c r="F38" i="1"/>
  <c r="F32" i="1"/>
  <c r="G33" i="1"/>
  <c r="G34" i="1"/>
  <c r="G35" i="1"/>
  <c r="G37" i="1"/>
  <c r="G38" i="1"/>
  <c r="G32" i="1"/>
  <c r="H34" i="1"/>
  <c r="H35" i="1"/>
  <c r="H37" i="1"/>
  <c r="H38" i="1"/>
  <c r="H32" i="1"/>
  <c r="B40" i="1"/>
  <c r="C40" i="1"/>
  <c r="D40" i="1"/>
  <c r="E40" i="1"/>
  <c r="F40" i="1"/>
  <c r="G40" i="1"/>
  <c r="H40" i="1"/>
</calcChain>
</file>

<file path=xl/comments1.xml><?xml version="1.0" encoding="utf-8"?>
<comments xmlns="http://schemas.openxmlformats.org/spreadsheetml/2006/main">
  <authors>
    <author>Auke</author>
  </authors>
  <commentList>
    <comment ref="A6" authorId="0">
      <text>
        <r>
          <rPr>
            <sz val="9"/>
            <color indexed="81"/>
            <rFont val="Tahoma"/>
            <family val="2"/>
          </rPr>
          <t>Tel afleverkosten, rijklaar maken en dergelijke erbij op.
Trek de aankoopkorting ervan af.
Het gaat straks niet om het bedrag in de brochure maar om wat u daadwerkelijk hebt betaald.</t>
        </r>
      </text>
    </comment>
    <comment ref="A11" authorId="0">
      <text>
        <r>
          <rPr>
            <sz val="9"/>
            <color indexed="81"/>
            <rFont val="Tahoma"/>
            <family val="2"/>
          </rPr>
          <t>Berekend inclusief BTW.</t>
        </r>
      </text>
    </comment>
    <comment ref="A12" authorId="0">
      <text>
        <r>
          <rPr>
            <sz val="9"/>
            <color indexed="81"/>
            <rFont val="Tahoma"/>
            <family val="2"/>
          </rPr>
          <t>De retwaardeberekening is gemaakt op basis van gemiddelde die in het leasewezen worden gebruikt. (Met dank aan Roel Hinriks Leaseconsult.)
Maar misschien verwacht u dat een bepaalde auto zijn waarde beter of slechter behoudt. Dat kunt u hier invullen.
Wij raden u aan om de restwaarde van een elektriche auto voor de zekerheid op niet meer dan 75% van het gemiddelde voor brandstofauto's te zetten. Sommige experts achten dat overdreven voorzichtig maar anderen gaan zelfs uit van 50%. Dit zult u zelf moeten beslissen.</t>
        </r>
      </text>
    </comment>
    <comment ref="A18" authorId="0">
      <text>
        <r>
          <rPr>
            <sz val="9"/>
            <color indexed="81"/>
            <rFont val="Tahoma"/>
            <family val="2"/>
          </rPr>
          <t>Vul hier de belasting in die u betaalt over de laatste schijf van uw inkomen. 
Als u minder dan ongeveer 20k (twintig duizend euro) per jaar verdient is dat 37%.
Als u meer dan ongeveer 20k per jaar verdient is dat 42%. 
Als u meer dan ongeveer 56k per jaar verdient is dat 52%.
Het wijkt af voor AOW'ers en je moet rekening houden met allerlei aftrekposten.
Meer informatie op www.belastingdienst.nl. Zoek op schijven.
Wat te doen als uw inkomen door het aftrekken van de auto onder de 52% komt?
Dan kunt u waarchijnlijk het beste met de VAMIL proberen om een deel van de aftrek naar volgens jaar te verplaatsen.
Als dat niet kan of uitkomt zou ik het gemiddelde nemen van beide schijven. Als het voornamelijk om het deel boven 56k gaat wat meer richting 52% en anders wat meer richting 42%.
Voorbeeld:
Voor ik een auto kocht verdiende ik volgens de belastingdienst 70k.
Over het deel boven 56k (=14k) moest ik 52% belating betalen (~7k).
Als ik 14k af kan trekken is het simpel. Dan heb ik 7k "voordeel".
Maar als ik 28k af kan trekken? Wat dan?
Awel, over de eerste 14k heb je dus 7k "voordeel".
Over de volgende 14k heb je 42% (~6k).
Gemiddeld had je anders precies 47% belasting betaald over die 28k.
Dit is dus het belastingpercentage dat ik in zou vullen.</t>
        </r>
      </text>
    </comment>
    <comment ref="A22" authorId="0">
      <text>
        <r>
          <rPr>
            <sz val="9"/>
            <color indexed="81"/>
            <rFont val="Tahoma"/>
            <family val="2"/>
          </rPr>
          <t>De retwaardeberekening is gemaakt op basis van gemiddelde die in het leasewezen worden gebruikt. (Met dank aan Roel Hinriks Leaseconsult.)</t>
        </r>
      </text>
    </comment>
    <comment ref="B23" authorId="0">
      <text>
        <r>
          <rPr>
            <sz val="9"/>
            <color indexed="81"/>
            <rFont val="Tahoma"/>
            <family val="2"/>
          </rPr>
          <t>De investering min de restwaarde, gedeeld door de looptijd.
De BPM wijkt iets af omdat de belastingdienst daar een vaste rekenmethode voor heeft maar het verschil is gering.</t>
        </r>
      </text>
    </comment>
    <comment ref="C23" authorId="0">
      <text>
        <r>
          <rPr>
            <sz val="9"/>
            <color indexed="81"/>
            <rFont val="Tahoma"/>
            <family val="2"/>
          </rPr>
          <t>De investering min de restwaarde, gedeeld door de looptijd.
De BPM wijkt iets af omdat de belastingdienst daar een vaste rekenmethode voor heeft maar het verschil is gering.</t>
        </r>
      </text>
    </comment>
    <comment ref="D23" authorId="0">
      <text>
        <r>
          <rPr>
            <sz val="9"/>
            <color indexed="81"/>
            <rFont val="Tahoma"/>
            <family val="2"/>
          </rPr>
          <t>De investering min de restwaarde, gedeeld door de looptijd.
De BPM wijkt iets af omdat de belastingdienst daar een vaste rekenmethode voor heeft maar het verschil is gering.</t>
        </r>
      </text>
    </comment>
    <comment ref="E23" authorId="0">
      <text>
        <r>
          <rPr>
            <sz val="9"/>
            <color indexed="81"/>
            <rFont val="Tahoma"/>
            <family val="2"/>
          </rPr>
          <t>De investering min de restwaarde, gedeeld door de looptijd.
De BPM wijkt iets af omdat de belastingdienst daar een vaste rekenmethode voor heeft maar het verschil is gering.</t>
        </r>
      </text>
    </comment>
    <comment ref="F23" authorId="0">
      <text>
        <r>
          <rPr>
            <sz val="9"/>
            <color indexed="81"/>
            <rFont val="Tahoma"/>
            <family val="2"/>
          </rPr>
          <t>De investering min de restwaarde, gedeeld door de looptijd.
De BPM wijkt iets af omdat de belastingdienst daar een vaste rekenmethode voor heeft maar het verschil is gering.</t>
        </r>
      </text>
    </comment>
    <comment ref="G23" authorId="0">
      <text>
        <r>
          <rPr>
            <sz val="9"/>
            <color indexed="81"/>
            <rFont val="Tahoma"/>
            <family val="2"/>
          </rPr>
          <t>De investering min de restwaarde, gedeeld door de looptijd.
De BPM wijkt iets af omdat de belastingdienst daar een vaste rekenmethode voor heeft maar het verschil is gering.</t>
        </r>
      </text>
    </comment>
    <comment ref="H23" authorId="0">
      <text>
        <r>
          <rPr>
            <sz val="9"/>
            <color indexed="81"/>
            <rFont val="Tahoma"/>
            <family val="2"/>
          </rPr>
          <t>De investering min de restwaarde, gedeeld door de looptijd.
De BPM wijkt iets af omdat de belastingdienst daar een vaste rekenmethode voor heeft maar het verschil is gering.</t>
        </r>
      </text>
    </comment>
    <comment ref="B26" authorId="0">
      <text>
        <r>
          <rPr>
            <sz val="9"/>
            <color indexed="81"/>
            <rFont val="Tahoma"/>
            <family val="2"/>
          </rPr>
          <t>De investering min de restwaarde, gedeeld door de looptijd.
De BPM afschrijving wijkt af omdat de belastingdienst daar een vaste rekenmethode voor heeft maar het verschil is gering.</t>
        </r>
      </text>
    </comment>
    <comment ref="C26" authorId="0">
      <text>
        <r>
          <rPr>
            <sz val="9"/>
            <color indexed="81"/>
            <rFont val="Tahoma"/>
            <family val="2"/>
          </rPr>
          <t>De investering min de restwaarde, gedeeld door de looptijd.
De BPM afschrijving wijkt af omdat de belastingdienst daar een vaste rekenmethode voor heeft maar het verschil is gering.</t>
        </r>
      </text>
    </comment>
    <comment ref="D26" authorId="0">
      <text>
        <r>
          <rPr>
            <sz val="9"/>
            <color indexed="81"/>
            <rFont val="Tahoma"/>
            <family val="2"/>
          </rPr>
          <t>De investering min de restwaarde, gedeeld door de looptijd.
De BPM afschrijving wijkt af omdat de belastingdienst daar een vaste rekenmethode voor heeft maar het verschil is gering.</t>
        </r>
      </text>
    </comment>
    <comment ref="E26" authorId="0">
      <text>
        <r>
          <rPr>
            <sz val="9"/>
            <color indexed="81"/>
            <rFont val="Tahoma"/>
            <family val="2"/>
          </rPr>
          <t>De investering min de restwaarde, gedeeld door de looptijd.
De BPM afschrijving wijkt af omdat de belastingdienst daar een vaste rekenmethode voor heeft maar het verschil is gering.</t>
        </r>
      </text>
    </comment>
    <comment ref="F26" authorId="0">
      <text>
        <r>
          <rPr>
            <sz val="9"/>
            <color indexed="81"/>
            <rFont val="Tahoma"/>
            <family val="2"/>
          </rPr>
          <t>De investering min de restwaarde, gedeeld door de looptijd.
De BPM afschrijving wijkt af omdat de belastingdienst daar een vaste rekenmethode voor heeft maar het verschil is gering.</t>
        </r>
      </text>
    </comment>
    <comment ref="G26" authorId="0">
      <text>
        <r>
          <rPr>
            <sz val="9"/>
            <color indexed="81"/>
            <rFont val="Tahoma"/>
            <family val="2"/>
          </rPr>
          <t>De investering min de restwaarde, gedeeld door de looptijd.
De BPM afschrijving wijkt af omdat de belastingdienst daar een vaste rekenmethode voor heeft maar het verschil is gering.</t>
        </r>
      </text>
    </comment>
    <comment ref="H26" authorId="0">
      <text>
        <r>
          <rPr>
            <sz val="9"/>
            <color indexed="81"/>
            <rFont val="Tahoma"/>
            <family val="2"/>
          </rPr>
          <t>De investering min de restwaarde, gedeeld door de looptijd.
De BPM afschrijving wijkt af omdat de belastingdienst daar een vaste rekenmethode voor heeft maar het verschil is gering.</t>
        </r>
      </text>
    </comment>
    <comment ref="B27" authorId="0">
      <text>
        <r>
          <rPr>
            <sz val="9"/>
            <color indexed="81"/>
            <rFont val="Tahoma"/>
            <family val="2"/>
          </rPr>
          <t>We gaan uit van een lening voor de aanschafkosten min de restwaarde die gedurende de looptijd wordt afgelost.
(Je hebt al een auto die je wilt vervangen met een vergelijkbare restwaarde is de gedachte.)
Als je het geld niet hoeft te lenen en slechts van je spaarbankboekje af hoeft te halen is dat natuurlijk goedkoper.</t>
        </r>
      </text>
    </comment>
    <comment ref="C27" authorId="0">
      <text>
        <r>
          <rPr>
            <sz val="9"/>
            <color indexed="81"/>
            <rFont val="Tahoma"/>
            <family val="2"/>
          </rPr>
          <t>Uitgaande van een lening voor de investering min de restwaarde.</t>
        </r>
      </text>
    </comment>
    <comment ref="D27" authorId="0">
      <text>
        <r>
          <rPr>
            <sz val="9"/>
            <color indexed="81"/>
            <rFont val="Tahoma"/>
            <family val="2"/>
          </rPr>
          <t>Uitgaande van een lening voor de investering min de restwaarde.</t>
        </r>
      </text>
    </comment>
    <comment ref="E27" authorId="0">
      <text>
        <r>
          <rPr>
            <sz val="9"/>
            <color indexed="81"/>
            <rFont val="Tahoma"/>
            <family val="2"/>
          </rPr>
          <t>Uitgaande van een lening voor de investering min de restwaarde.</t>
        </r>
      </text>
    </comment>
    <comment ref="F27" authorId="0">
      <text>
        <r>
          <rPr>
            <sz val="9"/>
            <color indexed="81"/>
            <rFont val="Tahoma"/>
            <family val="2"/>
          </rPr>
          <t>Uitgaande van een lening voor de investering min de restwaarde.</t>
        </r>
      </text>
    </comment>
    <comment ref="G27" authorId="0">
      <text>
        <r>
          <rPr>
            <sz val="9"/>
            <color indexed="81"/>
            <rFont val="Tahoma"/>
            <family val="2"/>
          </rPr>
          <t>Uitgaande van een lening voor de investering min de restwaarde.</t>
        </r>
      </text>
    </comment>
    <comment ref="H27" authorId="0">
      <text>
        <r>
          <rPr>
            <sz val="9"/>
            <color indexed="81"/>
            <rFont val="Tahoma"/>
            <family val="2"/>
          </rPr>
          <t>Uitgaande van een lening voor de investering min de restwaarde.</t>
        </r>
      </text>
    </comment>
    <comment ref="B29" authorId="0">
      <text>
        <r>
          <rPr>
            <sz val="9"/>
            <color indexed="81"/>
            <rFont val="Tahoma"/>
            <family val="2"/>
          </rPr>
          <t>Een benadering van de complexe tabel die voor verschillende gewichten en provincies de wegenbelasting bepaalt.
De duurste provincie (ZH) is circa 15% duurder dan de goedkoopste provincie (NH).
Voor auto's met maximaal 14% bijtelling geldt geen wegenbelasting.</t>
        </r>
      </text>
    </comment>
    <comment ref="C29" authorId="0">
      <text>
        <r>
          <rPr>
            <sz val="9"/>
            <color indexed="81"/>
            <rFont val="Tahoma"/>
            <family val="2"/>
          </rPr>
          <t>Een benadering van de complexe tabel die voor verschillende gewichten en provincies de wegenbelasting bepaalt.
De duurste provincie (ZH) is circa 15% duurder dan de goedkoopste provincie (NH).
Voor auto's met maximaal 14% bijtelling geldt geen wegenbelasting.</t>
        </r>
      </text>
    </comment>
    <comment ref="D29" authorId="0">
      <text>
        <r>
          <rPr>
            <sz val="9"/>
            <color indexed="81"/>
            <rFont val="Tahoma"/>
            <family val="2"/>
          </rPr>
          <t>Een benadering van de complexe tabel die voor verschillende gewichten en provincies de wegenbelasting bepaalt.
De duurste provincie (ZH) is circa 15% duurder dan de goedkoopste provincie (NH).
Voor auto's met maximaal 14% bijtelling geldt geen wegenbelasting.</t>
        </r>
      </text>
    </comment>
    <comment ref="E29" authorId="0">
      <text>
        <r>
          <rPr>
            <sz val="9"/>
            <color indexed="81"/>
            <rFont val="Tahoma"/>
            <family val="2"/>
          </rPr>
          <t>Een benadering van de complexe tabel die voor verschillende gewichten en provincies de wegenbelasting bepaalt.
De duurste provincie (ZH) is circa 15% duurder dan de goedkoopste provincie (NH).
Voor auto's met maximaal 14% bijtelling geldt geen wegenbelasting.</t>
        </r>
      </text>
    </comment>
    <comment ref="F29" authorId="0">
      <text>
        <r>
          <rPr>
            <sz val="9"/>
            <color indexed="81"/>
            <rFont val="Tahoma"/>
            <family val="2"/>
          </rPr>
          <t>Een benadering van de complexe tabel die voor verschillende gewichten en provincies de wegenbelasting bepaalt.
De duurste provincie (ZH) is circa 15% duurder dan de goedkoopste provincie (NH).
Voor auto's met maximaal 14% bijtelling geldt geen wegenbelasting.</t>
        </r>
      </text>
    </comment>
    <comment ref="G29" authorId="0">
      <text>
        <r>
          <rPr>
            <sz val="9"/>
            <color indexed="81"/>
            <rFont val="Tahoma"/>
            <family val="2"/>
          </rPr>
          <t>Een benadering van de complexe tabel die voor verschillende gewichten en provincies de wegenbelasting bepaalt.
De duurste provincie (ZH) is circa 15% duurder dan de goedkoopste provincie (NH).
Voor auto's met maximaal 14% bijtelling geldt geen wegenbelasting.</t>
        </r>
      </text>
    </comment>
    <comment ref="H29" authorId="0">
      <text>
        <r>
          <rPr>
            <sz val="9"/>
            <color indexed="81"/>
            <rFont val="Tahoma"/>
            <family val="2"/>
          </rPr>
          <t>Een benadering van de complexe tabel die voor verschillende gewichten en provincies de wegenbelasting bepaalt.
De duurste provincie (ZH) is circa 15% duurder dan de goedkoopste provincie (NH).
Voor auto's met maximaal 14% bijtelling geldt geen wegenbelasting.</t>
        </r>
      </text>
    </comment>
    <comment ref="B30" authorId="0">
      <text>
        <r>
          <rPr>
            <sz val="9"/>
            <color indexed="81"/>
            <rFont val="Tahoma"/>
            <family val="2"/>
          </rPr>
          <t>Ruwe schatting want het hangt erg af van het model en voor elektrische auto's weten we het nog nauwelijks.</t>
        </r>
      </text>
    </comment>
    <comment ref="C30" authorId="0">
      <text>
        <r>
          <rPr>
            <sz val="9"/>
            <color indexed="81"/>
            <rFont val="Tahoma"/>
            <family val="2"/>
          </rPr>
          <t>Ruwe schatting want het hangt erg af van het model en voor elektrische auto's weten we het nog nauwelijks.</t>
        </r>
      </text>
    </comment>
    <comment ref="D30" authorId="0">
      <text>
        <r>
          <rPr>
            <sz val="9"/>
            <color indexed="81"/>
            <rFont val="Tahoma"/>
            <family val="2"/>
          </rPr>
          <t>Ruwe schatting want het hangt erg af van het model en voor elektrische auto's weten we het nog nauwelijks.</t>
        </r>
      </text>
    </comment>
    <comment ref="E30" authorId="0">
      <text>
        <r>
          <rPr>
            <sz val="9"/>
            <color indexed="81"/>
            <rFont val="Tahoma"/>
            <family val="2"/>
          </rPr>
          <t>Ruwe schatting want het hangt erg af van het model en voor elektrische auto's weten we het nog nauwelijks.</t>
        </r>
      </text>
    </comment>
    <comment ref="F30" authorId="0">
      <text>
        <r>
          <rPr>
            <sz val="9"/>
            <color indexed="81"/>
            <rFont val="Tahoma"/>
            <family val="2"/>
          </rPr>
          <t>Ruwe schatting want het hangt erg af van het model en voor elektrische auto's weten we het nog nauwelijks.</t>
        </r>
      </text>
    </comment>
    <comment ref="G30" authorId="0">
      <text>
        <r>
          <rPr>
            <sz val="9"/>
            <color indexed="81"/>
            <rFont val="Tahoma"/>
            <family val="2"/>
          </rPr>
          <t>Ruwe schatting want het hangt erg af van het model en voor elektrische auto's weten we het nog nauwelijks.</t>
        </r>
      </text>
    </comment>
    <comment ref="H30" authorId="0">
      <text>
        <r>
          <rPr>
            <sz val="9"/>
            <color indexed="81"/>
            <rFont val="Tahoma"/>
            <family val="2"/>
          </rPr>
          <t>Ruwe schatting want het hangt erg af van het model en voor elektrische auto's weten we het nog nauwelijks.</t>
        </r>
      </text>
    </comment>
    <comment ref="A32" authorId="0">
      <text>
        <r>
          <rPr>
            <sz val="9"/>
            <color indexed="81"/>
            <rFont val="Tahoma"/>
            <family val="2"/>
          </rPr>
          <t>Om het overzichtelijk te houden is per post direct het netto effect berekend.</t>
        </r>
      </text>
    </comment>
    <comment ref="B36" authorId="0">
      <text>
        <r>
          <rPr>
            <sz val="9"/>
            <color indexed="81"/>
            <rFont val="Tahoma"/>
            <family val="2"/>
          </rPr>
          <t>Volledig elektrische auto's (niet PHEV) hebben recht op Milieu Investeringsaftrek. Deze aftrekpost bedraagt 36% van de investering, met een maximum van 36% van 50.000.
Door de MIA heeft de ondernemer ook een rentevoordeel: hij kan een deel van de lening immers versneld aflossen. Dit rentevoordeel is bij de MIA opgeteld</t>
        </r>
      </text>
    </comment>
    <comment ref="C36" authorId="0">
      <text>
        <r>
          <rPr>
            <sz val="9"/>
            <color indexed="81"/>
            <rFont val="Tahoma"/>
            <family val="2"/>
          </rPr>
          <t>Volledig elektrische auto's (niet PHEV) hebben recht op Milieu Investeringsaftrek. Deze aftrekpost bedraagt 36% van de investering, met een maximum van 36% van 50.000.
Door de MIA heeft de ondernemer ook een rentevoordeel: hij kan een deel van de lening immers versneld aflossen. Dit rentevoordeel is bij de MIA opgeteld</t>
        </r>
      </text>
    </comment>
    <comment ref="D36" authorId="0">
      <text>
        <r>
          <rPr>
            <sz val="9"/>
            <color indexed="81"/>
            <rFont val="Tahoma"/>
            <family val="2"/>
          </rPr>
          <t>Volledig elektrische auto's (niet PHEV) hebben recht op Milieu Investeringsaftrek. Deze aftrekpost bedraagt 36% van de investering, met een maximum van 36% van 50.000.
Door de MIA heeft de ondernemer ook een rentevoordeel: hij kan een deel van de lening immers versneld aflossen. Dit rentevoordeel is bij de MIA opgeteld</t>
        </r>
      </text>
    </comment>
    <comment ref="E36" authorId="0">
      <text>
        <r>
          <rPr>
            <sz val="9"/>
            <color indexed="81"/>
            <rFont val="Tahoma"/>
            <family val="2"/>
          </rPr>
          <t>Volledig elektrische auto's (niet PHEV) hebben recht op Milieu Investeringsaftrek. Deze aftrekpost bedraagt 36% van de investering, met een maximum van 36% van 50.000.
Door de MIA heeft de ondernemer ook een rentevoordeel: hij kan een deel van de lening immers versneld aflossen. Dit rentevoordeel is bij de MIA opgeteld</t>
        </r>
      </text>
    </comment>
    <comment ref="F36" authorId="0">
      <text>
        <r>
          <rPr>
            <sz val="9"/>
            <color indexed="81"/>
            <rFont val="Tahoma"/>
            <family val="2"/>
          </rPr>
          <t>Volledig elektrische auto's (niet PHEV) hebben recht op Milieu Investeringsaftrek. Deze aftrekpost bedraagt 36% van de investering, met een maximum van 36% van 50.000.
Door de MIA heeft de ondernemer ook een rentevoordeel: hij kan een deel van de lening immers versneld aflossen. Dit rentevoordeel is bij de MIA opgeteld</t>
        </r>
      </text>
    </comment>
    <comment ref="G36" authorId="0">
      <text>
        <r>
          <rPr>
            <sz val="9"/>
            <color indexed="81"/>
            <rFont val="Tahoma"/>
            <family val="2"/>
          </rPr>
          <t>Volledig elektrische auto's (niet PHEV) hebben recht op Milieu Investeringsaftrek. Deze aftrekpost bedraagt 36% van de investering, met een maximum van 36% van 50.000.
Door de MIA heeft de ondernemer ook een rentevoordeel: hij kan een deel van de lening immers versneld aflossen. Dit rentevoordeel is bij de MIA opgeteld</t>
        </r>
      </text>
    </comment>
    <comment ref="H36" authorId="0">
      <text>
        <r>
          <rPr>
            <sz val="9"/>
            <color indexed="81"/>
            <rFont val="Tahoma"/>
            <family val="2"/>
          </rPr>
          <t>Volledig elektrische auto's (niet PHEV) hebben recht op Milieu Investeringsaftrek. Deze aftrekpost bedraagt 36% van de investering, met een maximum van 36% van 50.000.
Door de MIA heeft de ondernemer ook een rentevoordeel: hij kan een deel van de lening immers versneld aflossen. Dit rentevoordeel is bij de MIA opgeteld</t>
        </r>
      </text>
    </comment>
    <comment ref="B37" authorId="0">
      <text>
        <r>
          <rPr>
            <sz val="9"/>
            <color indexed="81"/>
            <rFont val="Tahoma"/>
            <family val="2"/>
          </rPr>
          <t>Zeer zuinige auto's (bijtelling maximaal 14%) komen in aanmerking voor de KIA.
De KIA bedraagt 28% van het investeringsbedrag met een maximum van €15470. 
Bij een investering van boven de €102.311 wordt de KIA weer kleiner. Van het bedrag boven de €102.311 wordt 7,65% genomen en dit bedrag wordt van de €15470 afgetrokken. Bij een investering van rond de 3 ton is de KIA geheel verdwenen.
Investeringen van minder dan €2300 komen niet in aanmerking voor de KIA.
Door de KIA heeft de ondernemer ook een rentevoordeel: hij kan een deel van de lening immers versneld aflossen. Dit rentevoordeel is bij de KIA opgeteld.</t>
        </r>
      </text>
    </comment>
    <comment ref="C37" authorId="0">
      <text>
        <r>
          <rPr>
            <sz val="9"/>
            <color indexed="81"/>
            <rFont val="Tahoma"/>
            <family val="2"/>
          </rPr>
          <t>Zeer zuinige auto's (bijtelling maximaal 14%) komen in aanmerking voor de KIA.
De KIA bedraagt 28% van het investeringsbedrag met een maximum van €15470. 
Bij een investering van boven de €102.311 wordt de KIA weer kleiner. Van het bedrag boven de €102.311 wordt 7,65% genomen en dit bedrag wordt van de €15470 afgetrokken. Bij een investering van rond de 3 ton is de KIA geheel verdwenen.
Investeringen van minder dan €2300 komen niet in aanmerking voor de KIA.
Door de KIA heeft de ondernemer ook een rentevoordeel: hij kan een deel van de lening immers versneld aflossen. Dit rentevoordeel is bij de KIA opgeteld.</t>
        </r>
      </text>
    </comment>
    <comment ref="D37" authorId="0">
      <text>
        <r>
          <rPr>
            <sz val="9"/>
            <color indexed="81"/>
            <rFont val="Tahoma"/>
            <family val="2"/>
          </rPr>
          <t>Zeer zuinige auto's (bijtelling maximaal 14%) komen in aanmerking voor de KIA.
De KIA bedraagt 28% van het investeringsbedrag met een maximum van €15470. 
Bij een investering van boven de €102.311 wordt de KIA weer kleiner. Van het bedrag boven de €102.311 wordt 7,65% genomen en dit bedrag wordt van de €15470 afgetrokken. Bij een investering van rond de 3 ton is de KIA geheel verdwenen.
Investeringen van minder dan €2300 komen niet in aanmerking voor de KIA.
Door de KIA heeft de ondernemer ook een rentevoordeel: hij kan een deel van de lening immers versneld aflossen. Dit rentevoordeel is bij de KIA opgeteld.</t>
        </r>
      </text>
    </comment>
    <comment ref="E37" authorId="0">
      <text>
        <r>
          <rPr>
            <sz val="9"/>
            <color indexed="81"/>
            <rFont val="Tahoma"/>
            <family val="2"/>
          </rPr>
          <t>Zeer zuinige auto's (bijtelling maximaal 14%) komen in aanmerking voor de KIA.
De KIA bedraagt 28% van het investeringsbedrag met een maximum van €15470. 
Bij een investering van boven de €102.311 wordt de KIA weer kleiner. Van het bedrag boven de €102.311 wordt 7,65% genomen en dit bedrag wordt van de €15470 afgetrokken. Bij een investering van rond de 3 ton is de KIA geheel verdwenen.
Investeringen van minder dan €2300 komen niet in aanmerking voor de KIA.
Door de KIA heeft de ondernemer ook een rentevoordeel: hij kan een deel van de lening immers versneld aflossen. Dit rentevoordeel is bij de KIA opgeteld.</t>
        </r>
      </text>
    </comment>
    <comment ref="F37" authorId="0">
      <text>
        <r>
          <rPr>
            <sz val="9"/>
            <color indexed="81"/>
            <rFont val="Tahoma"/>
            <family val="2"/>
          </rPr>
          <t>Zeer zuinige auto's (bijtelling maximaal 14%) komen in aanmerking voor de KIA.
De KIA bedraagt 28% van het investeringsbedrag met een maximum van €15470. 
Bij een investering van boven de €102.311 wordt de KIA weer kleiner. Van het bedrag boven de €102.311 wordt 7,65% genomen en dit bedrag wordt van de €15470 afgetrokken. Bij een investering van rond de 3 ton is de KIA geheel verdwenen.
Investeringen van minder dan €2300 komen niet in aanmerking voor de KIA.
Door de KIA heeft de ondernemer ook een rentevoordeel: hij kan een deel van de lening immers versneld aflossen. Dit rentevoordeel is bij de KIA opgeteld.</t>
        </r>
      </text>
    </comment>
    <comment ref="G37" authorId="0">
      <text>
        <r>
          <rPr>
            <sz val="9"/>
            <color indexed="81"/>
            <rFont val="Tahoma"/>
            <family val="2"/>
          </rPr>
          <t>Zeer zuinige auto's (bijtelling maximaal 14%) komen in aanmerking voor de KIA.
De KIA bedraagt 28% van het investeringsbedrag met een maximum van €15470. 
Bij een investering van boven de €102.311 wordt de KIA weer kleiner. Van het bedrag boven de €102.311 wordt 7,65% genomen en dit bedrag wordt van de €15470 afgetrokken. Bij een investering van rond de 3 ton is de KIA geheel verdwenen.
Investeringen van minder dan €2300 komen niet in aanmerking voor de KIA.
Door de KIA heeft de ondernemer ook een rentevoordeel: hij kan een deel van de lening immers versneld aflossen. Dit rentevoordeel is bij de KIA opgeteld.</t>
        </r>
      </text>
    </comment>
    <comment ref="H37" authorId="0">
      <text>
        <r>
          <rPr>
            <sz val="9"/>
            <color indexed="81"/>
            <rFont val="Tahoma"/>
            <family val="2"/>
          </rPr>
          <t>Zeer zuinige auto's (bijtelling maximaal 14%) komen in aanmerking voor de KIA.
De KIA bedraagt 28% van het investeringsbedrag met een maximum van €15470. 
Bij een investering van boven de €102.311 wordt de KIA weer kleiner. Van het bedrag boven de €102.311 wordt 7,65% genomen en dit bedrag wordt van de €15470 afgetrokken. Bij een investering van rond de 3 ton is de KIA geheel verdwenen.
Investeringen van minder dan €2300 komen niet in aanmerking voor de KIA.
Door de KIA heeft de ondernemer ook een rentevoordeel: hij kan een deel van de lening immers versneld aflossen. Dit rentevoordeel is bij de KIA opgeteld.</t>
        </r>
      </text>
    </comment>
    <comment ref="B39" authorId="0">
      <text>
        <r>
          <rPr>
            <sz val="9"/>
            <color indexed="81"/>
            <rFont val="Tahoma"/>
            <family val="2"/>
          </rPr>
          <t>Het VAMIL voordeel hangt van ondermeer de rentevoet en de afschrijvingstermijn af maar volgens agentschap.nl (en die gaan over de VAMIL) is het gemiddeld 3% van de investering. Die benadering hebben we hier ingevuld.
Zie www.agentschap.nl en zoek op rekenvoorbeelden vamil.</t>
        </r>
      </text>
    </comment>
  </commentList>
</comments>
</file>

<file path=xl/comments2.xml><?xml version="1.0" encoding="utf-8"?>
<comments xmlns="http://schemas.openxmlformats.org/spreadsheetml/2006/main">
  <authors>
    <author>Auke</author>
  </authors>
  <commentList>
    <comment ref="A6" authorId="0">
      <text>
        <r>
          <rPr>
            <sz val="9"/>
            <color indexed="81"/>
            <rFont val="Tahoma"/>
            <family val="2"/>
          </rPr>
          <t>Tel afleverkosten, rijklaar maken en dergelijke erbij op.
Trek de aankoopkorting ervan af.
Het gaat straks niet om het bedrag in de brochure maar om wat u daadwerkelijk hebt betaald.</t>
        </r>
      </text>
    </comment>
    <comment ref="A11" authorId="0">
      <text>
        <r>
          <rPr>
            <sz val="9"/>
            <color indexed="81"/>
            <rFont val="Tahoma"/>
            <family val="2"/>
          </rPr>
          <t>Berekend inclusief BTW.</t>
        </r>
      </text>
    </comment>
    <comment ref="A12" authorId="0">
      <text>
        <r>
          <rPr>
            <sz val="9"/>
            <color indexed="81"/>
            <rFont val="Tahoma"/>
            <family val="2"/>
          </rPr>
          <t>De retwaardeberekening is gemaakt op basis van gemiddelde die in het leasewezen worden gebruikt. (Met dank aan Roel Hinriks Leaseconsult.)
Maar misschien verwacht u dat een bepaalde auto zijn waarde beter of slechter behoudt. Dat kunt u hier invullen.
Wij raden u aan om de restwaarde van een elektriche auto voor de zekerheid op niet meer dan 75% van het gemiddelde voor brandstofauto's te zetten. Sommige experts achten dat overdreven voorzichtig maar anderen gaan zelfs uit van 50%. Dit zult u zelf moeten beslissen.</t>
        </r>
      </text>
    </comment>
    <comment ref="A19" authorId="0">
      <text>
        <r>
          <rPr>
            <sz val="9"/>
            <color indexed="81"/>
            <rFont val="Tahoma"/>
            <family val="2"/>
          </rPr>
          <t>De retwaardeberekening is gemaakt op basis van gemiddelde die in het leasewezen worden gebruikt. (Met dank aan Roel Hinriks Leaseconsult.)</t>
        </r>
      </text>
    </comment>
    <comment ref="C20" authorId="0">
      <text>
        <r>
          <rPr>
            <sz val="9"/>
            <color indexed="81"/>
            <rFont val="Tahoma"/>
            <family val="2"/>
          </rPr>
          <t>De investering min de restwaarde, gedeeld door de looptijd.
De BPM wijkt iets af omdat de belastingdienst daar een vaste rekenmethode voor heeft maar het verschil is gering.</t>
        </r>
      </text>
    </comment>
    <comment ref="D20" authorId="0">
      <text>
        <r>
          <rPr>
            <sz val="9"/>
            <color indexed="81"/>
            <rFont val="Tahoma"/>
            <family val="2"/>
          </rPr>
          <t>De investering min de restwaarde, gedeeld door de looptijd.
De BPM wijkt iets af omdat de belastingdienst daar een vaste rekenmethode voor heeft maar het verschil is gering.</t>
        </r>
      </text>
    </comment>
    <comment ref="E20" authorId="0">
      <text>
        <r>
          <rPr>
            <sz val="9"/>
            <color indexed="81"/>
            <rFont val="Tahoma"/>
            <family val="2"/>
          </rPr>
          <t>De investering min de restwaarde, gedeeld door de looptijd.
De BPM wijkt iets af omdat de belastingdienst daar een vaste rekenmethode voor heeft maar het verschil is gering.</t>
        </r>
      </text>
    </comment>
    <comment ref="F20" authorId="0">
      <text>
        <r>
          <rPr>
            <sz val="9"/>
            <color indexed="81"/>
            <rFont val="Tahoma"/>
            <family val="2"/>
          </rPr>
          <t>De investering min de restwaarde, gedeeld door de looptijd.
De BPM wijkt iets af omdat de belastingdienst daar een vaste rekenmethode voor heeft maar het verschil is gering.</t>
        </r>
      </text>
    </comment>
    <comment ref="G20" authorId="0">
      <text>
        <r>
          <rPr>
            <sz val="9"/>
            <color indexed="81"/>
            <rFont val="Tahoma"/>
            <family val="2"/>
          </rPr>
          <t>De investering min de restwaarde, gedeeld door de looptijd.
De BPM wijkt iets af omdat de belastingdienst daar een vaste rekenmethode voor heeft maar het verschil is gering.</t>
        </r>
      </text>
    </comment>
    <comment ref="H20" authorId="0">
      <text>
        <r>
          <rPr>
            <sz val="9"/>
            <color indexed="81"/>
            <rFont val="Tahoma"/>
            <family val="2"/>
          </rPr>
          <t>De investering min de restwaarde, gedeeld door de looptijd.
De BPM wijkt iets af omdat de belastingdienst daar een vaste rekenmethode voor heeft maar het verschil is gering.</t>
        </r>
      </text>
    </comment>
    <comment ref="I20" authorId="0">
      <text>
        <r>
          <rPr>
            <sz val="9"/>
            <color indexed="81"/>
            <rFont val="Tahoma"/>
            <family val="2"/>
          </rPr>
          <t>De investering min de restwaarde, gedeeld door de looptijd.
De BPM wijkt iets af omdat de belastingdienst daar een vaste rekenmethode voor heeft maar het verschil is gering.</t>
        </r>
      </text>
    </comment>
    <comment ref="J20" authorId="0">
      <text>
        <r>
          <rPr>
            <sz val="9"/>
            <color indexed="81"/>
            <rFont val="Tahoma"/>
            <family val="2"/>
          </rPr>
          <t>De investering min de restwaarde, gedeeld door de looptijd.
De BPM wijkt iets af omdat de belastingdienst daar een vaste rekenmethode voor heeft maar het verschil is gering.</t>
        </r>
      </text>
    </comment>
    <comment ref="K20" authorId="0">
      <text>
        <r>
          <rPr>
            <sz val="9"/>
            <color indexed="81"/>
            <rFont val="Tahoma"/>
            <family val="2"/>
          </rPr>
          <t>De investering min de restwaarde, gedeeld door de looptijd.
De BPM wijkt iets af omdat de belastingdienst daar een vaste rekenmethode voor heeft maar het verschil is gering.</t>
        </r>
      </text>
    </comment>
    <comment ref="C21" authorId="0">
      <text>
        <r>
          <rPr>
            <sz val="9"/>
            <color indexed="81"/>
            <rFont val="Tahoma"/>
            <family val="2"/>
          </rPr>
          <t>We gaan uit van een lening voor de aanschafkosten min de restwaarde die gedurende de looptijd wordt afgelost.
(Je hebt al een auto die je wilt vervangen met een vergelijkbare restwaarde is de gedachte.)
Als je het geld niet hoeft te lenen en slechts van je spaarbankboekje af hoeft te halen is dat natuurlijk goedkoper.</t>
        </r>
      </text>
    </comment>
    <comment ref="D21" authorId="0">
      <text>
        <r>
          <rPr>
            <sz val="9"/>
            <color indexed="81"/>
            <rFont val="Tahoma"/>
            <family val="2"/>
          </rPr>
          <t>We gaan uit van een lening voor de aanschafkosten min de restwaarde die gedurende de looptijd wordt afgelost.
(Je hebt al een auto die je wilt vervangen met een vergelijkbare restwaarde is de gedachte.)
Als je het geld niet hoeft te lenen en slechts van je spaarbankboekje af hoeft te halen is dat natuurlijk goedkoper.</t>
        </r>
      </text>
    </comment>
    <comment ref="E21" authorId="0">
      <text>
        <r>
          <rPr>
            <sz val="9"/>
            <color indexed="81"/>
            <rFont val="Tahoma"/>
            <family val="2"/>
          </rPr>
          <t>We gaan uit van een lening voor de aanschafkosten min de restwaarde die gedurende de looptijd wordt afgelost.
(Je hebt al een auto die je wilt vervangen met een vergelijkbare restwaarde is de gedachte.)
Als je het geld niet hoeft te lenen en slechts van je spaarbankboekje af hoeft te halen is dat natuurlijk goedkoper.</t>
        </r>
      </text>
    </comment>
    <comment ref="F21" authorId="0">
      <text>
        <r>
          <rPr>
            <sz val="9"/>
            <color indexed="81"/>
            <rFont val="Tahoma"/>
            <family val="2"/>
          </rPr>
          <t>We gaan uit van een lening voor de aanschafkosten min de restwaarde die gedurende de looptijd wordt afgelost.
(Je hebt al een auto die je wilt vervangen met een vergelijkbare restwaarde is de gedachte.)
Als je het geld niet hoeft te lenen en slechts van je spaarbankboekje af hoeft te halen is dat natuurlijk goedkoper.</t>
        </r>
      </text>
    </comment>
    <comment ref="G21" authorId="0">
      <text>
        <r>
          <rPr>
            <sz val="9"/>
            <color indexed="81"/>
            <rFont val="Tahoma"/>
            <family val="2"/>
          </rPr>
          <t>We gaan uit van een lening voor de aanschafkosten min de restwaarde die gedurende de looptijd wordt afgelost.
(Je hebt al een auto die je wilt vervangen met een vergelijkbare restwaarde is de gedachte.)
Als je het geld niet hoeft te lenen en slechts van je spaarbankboekje af hoeft te halen is dat natuurlijk goedkoper.</t>
        </r>
      </text>
    </comment>
    <comment ref="H21" authorId="0">
      <text>
        <r>
          <rPr>
            <sz val="9"/>
            <color indexed="81"/>
            <rFont val="Tahoma"/>
            <family val="2"/>
          </rPr>
          <t>We gaan uit van een lening voor de aanschafkosten min de restwaarde die gedurende de looptijd wordt afgelost.
(Je hebt al een auto die je wilt vervangen met een vergelijkbare restwaarde is de gedachte.)
Als je het geld niet hoeft te lenen en slechts van je spaarbankboekje af hoeft te halen is dat natuurlijk goedkoper.</t>
        </r>
      </text>
    </comment>
    <comment ref="I21" authorId="0">
      <text>
        <r>
          <rPr>
            <sz val="9"/>
            <color indexed="81"/>
            <rFont val="Tahoma"/>
            <family val="2"/>
          </rPr>
          <t>We gaan uit van een lening voor de aanschafkosten min de restwaarde die gedurende de looptijd wordt afgelost.
(Je hebt al een auto die je wilt vervangen met een vergelijkbare restwaarde is de gedachte.)
Als je het geld niet hoeft te lenen en slechts van je spaarbankboekje af hoeft te halen is dat natuurlijk goedkoper.</t>
        </r>
      </text>
    </comment>
    <comment ref="J21" authorId="0">
      <text>
        <r>
          <rPr>
            <sz val="9"/>
            <color indexed="81"/>
            <rFont val="Tahoma"/>
            <family val="2"/>
          </rPr>
          <t>We gaan uit van een lening voor de aanschafkosten min de restwaarde die gedurende de looptijd wordt afgelost.
(Je hebt al een auto die je wilt vervangen met een vergelijkbare restwaarde is de gedachte.)
Als je het geld niet hoeft te lenen en slechts van je spaarbankboekje af hoeft te halen is dat natuurlijk goedkoper.</t>
        </r>
      </text>
    </comment>
    <comment ref="K21" authorId="0">
      <text>
        <r>
          <rPr>
            <sz val="9"/>
            <color indexed="81"/>
            <rFont val="Tahoma"/>
            <family val="2"/>
          </rPr>
          <t>We gaan uit van een lening voor de aanschafkosten min de restwaarde die gedurende de looptijd wordt afgelost.
(Je hebt al een auto die je wilt vervangen met een vergelijkbare restwaarde is de gedachte.)
Als je het geld niet hoeft te lenen en slechts van je spaarbankboekje af hoeft te halen is dat natuurlijk goedkoper.</t>
        </r>
      </text>
    </comment>
    <comment ref="C25" authorId="0">
      <text>
        <r>
          <rPr>
            <sz val="9"/>
            <color indexed="81"/>
            <rFont val="Tahoma"/>
            <family val="2"/>
          </rPr>
          <t>Een benadering van de complexe tabel die voor verschillende gewichten en provincies de wegenbelasting bepaalt.
De duurste provincie (ZH) is circa 15% duurder dan de goedkoopste provincie (NH).
Voor auto's met maximaal 14% bijtelling geldt geen wegenbelasting.</t>
        </r>
      </text>
    </comment>
    <comment ref="D25" authorId="0">
      <text>
        <r>
          <rPr>
            <sz val="9"/>
            <color indexed="81"/>
            <rFont val="Tahoma"/>
            <family val="2"/>
          </rPr>
          <t>Een benadering van de complexe tabel die voor verschillende gewichten en provincies de wegenbelasting bepaalt.
De duurste provincie (ZH) is circa 15% duurder dan de goedkoopste provincie (NH).
Voor auto's met maximaal 14% bijtelling geldt geen wegenbelasting.</t>
        </r>
      </text>
    </comment>
    <comment ref="E25" authorId="0">
      <text>
        <r>
          <rPr>
            <sz val="9"/>
            <color indexed="81"/>
            <rFont val="Tahoma"/>
            <family val="2"/>
          </rPr>
          <t>Een benadering van de complexe tabel die voor verschillende gewichten en provincies de wegenbelasting bepaalt.
De duurste provincie (ZH) is circa 15% duurder dan de goedkoopste provincie (NH).
Voor auto's met maximaal 14% bijtelling geldt geen wegenbelasting.</t>
        </r>
      </text>
    </comment>
    <comment ref="F25" authorId="0">
      <text>
        <r>
          <rPr>
            <sz val="9"/>
            <color indexed="81"/>
            <rFont val="Tahoma"/>
            <family val="2"/>
          </rPr>
          <t>Een benadering van de complexe tabel die voor verschillende gewichten en provincies de wegenbelasting bepaalt.
De duurste provincie (ZH) is circa 15% duurder dan de goedkoopste provincie (NH).
Voor auto's met maximaal 14% bijtelling geldt geen wegenbelasting.</t>
        </r>
      </text>
    </comment>
    <comment ref="G25" authorId="0">
      <text>
        <r>
          <rPr>
            <sz val="9"/>
            <color indexed="81"/>
            <rFont val="Tahoma"/>
            <family val="2"/>
          </rPr>
          <t>Een benadering van de complexe tabel die voor verschillende gewichten en provincies de wegenbelasting bepaalt.
De duurste provincie (ZH) is circa 15% duurder dan de goedkoopste provincie (NH).
Voor auto's met maximaal 14% bijtelling geldt geen wegenbelasting.</t>
        </r>
      </text>
    </comment>
    <comment ref="H25" authorId="0">
      <text>
        <r>
          <rPr>
            <sz val="9"/>
            <color indexed="81"/>
            <rFont val="Tahoma"/>
            <family val="2"/>
          </rPr>
          <t>Een benadering van de complexe tabel die voor verschillende gewichten en provincies de wegenbelasting bepaalt.
De duurste provincie (ZH) is circa 15% duurder dan de goedkoopste provincie (NH).
Voor auto's met maximaal 14% bijtelling geldt geen wegenbelasting.</t>
        </r>
      </text>
    </comment>
    <comment ref="I25" authorId="0">
      <text>
        <r>
          <rPr>
            <sz val="9"/>
            <color indexed="81"/>
            <rFont val="Tahoma"/>
            <family val="2"/>
          </rPr>
          <t>Een benadering van de complexe tabel die voor verschillende gewichten en provincies de wegenbelasting bepaalt.
De duurste provincie (ZH) is circa 15% duurder dan de goedkoopste provincie (NH).
Voor auto's met maximaal 14% bijtelling geldt geen wegenbelasting.</t>
        </r>
      </text>
    </comment>
    <comment ref="J25" authorId="0">
      <text>
        <r>
          <rPr>
            <sz val="9"/>
            <color indexed="81"/>
            <rFont val="Tahoma"/>
            <family val="2"/>
          </rPr>
          <t>Een benadering van de complexe tabel die voor verschillende gewichten en provincies de wegenbelasting bepaalt.
De duurste provincie (ZH) is circa 15% duurder dan de goedkoopste provincie (NH).
Voor auto's met maximaal 14% bijtelling geldt geen wegenbelasting.</t>
        </r>
      </text>
    </comment>
    <comment ref="K25" authorId="0">
      <text>
        <r>
          <rPr>
            <sz val="9"/>
            <color indexed="81"/>
            <rFont val="Tahoma"/>
            <family val="2"/>
          </rPr>
          <t>Een benadering van de complexe tabel die voor verschillende gewichten en provincies de wegenbelasting bepaalt.
De duurste provincie (ZH) is circa 15% duurder dan de goedkoopste provincie (NH).
Voor auto's met maximaal 14% bijtelling geldt geen wegenbelasting.</t>
        </r>
      </text>
    </comment>
    <comment ref="C26" authorId="0">
      <text>
        <r>
          <rPr>
            <sz val="9"/>
            <color indexed="81"/>
            <rFont val="Tahoma"/>
            <family val="2"/>
          </rPr>
          <t>Ruwe schatting want het hangt erg af van het model en voor elektrische auto's weten we het nog nauwelijks.</t>
        </r>
      </text>
    </comment>
    <comment ref="D26" authorId="0">
      <text>
        <r>
          <rPr>
            <sz val="9"/>
            <color indexed="81"/>
            <rFont val="Tahoma"/>
            <family val="2"/>
          </rPr>
          <t>Ruwe schatting want het hangt erg af van het model en voor elektrische auto's weten we het nog nauwelijks.</t>
        </r>
      </text>
    </comment>
    <comment ref="E26" authorId="0">
      <text>
        <r>
          <rPr>
            <sz val="9"/>
            <color indexed="81"/>
            <rFont val="Tahoma"/>
            <family val="2"/>
          </rPr>
          <t>Ruwe schatting want het hangt erg af van het model en voor elektrische auto's weten we het nog nauwelijks.</t>
        </r>
      </text>
    </comment>
    <comment ref="F26" authorId="0">
      <text>
        <r>
          <rPr>
            <sz val="9"/>
            <color indexed="81"/>
            <rFont val="Tahoma"/>
            <family val="2"/>
          </rPr>
          <t>Ruwe schatting want het hangt erg af van het model en voor elektrische auto's weten we het nog nauwelijks.</t>
        </r>
      </text>
    </comment>
    <comment ref="G26" authorId="0">
      <text>
        <r>
          <rPr>
            <sz val="9"/>
            <color indexed="81"/>
            <rFont val="Tahoma"/>
            <family val="2"/>
          </rPr>
          <t>Ruwe schatting want het hangt erg af van het model en voor elektrische auto's weten we het nog nauwelijks.</t>
        </r>
      </text>
    </comment>
    <comment ref="H26" authorId="0">
      <text>
        <r>
          <rPr>
            <sz val="9"/>
            <color indexed="81"/>
            <rFont val="Tahoma"/>
            <family val="2"/>
          </rPr>
          <t>Ruwe schatting want het hangt erg af van het model en voor elektrische auto's weten we het nog nauwelijks.</t>
        </r>
      </text>
    </comment>
    <comment ref="I26" authorId="0">
      <text>
        <r>
          <rPr>
            <sz val="9"/>
            <color indexed="81"/>
            <rFont val="Tahoma"/>
            <family val="2"/>
          </rPr>
          <t>Ruwe schatting want het hangt erg af van het model en voor elektrische auto's weten we het nog nauwelijks.</t>
        </r>
      </text>
    </comment>
    <comment ref="J26" authorId="0">
      <text>
        <r>
          <rPr>
            <sz val="9"/>
            <color indexed="81"/>
            <rFont val="Tahoma"/>
            <family val="2"/>
          </rPr>
          <t>Ruwe schatting want het hangt erg af van het model en voor elektrische auto's weten we het nog nauwelijks.</t>
        </r>
      </text>
    </comment>
    <comment ref="K26" authorId="0">
      <text>
        <r>
          <rPr>
            <sz val="9"/>
            <color indexed="81"/>
            <rFont val="Tahoma"/>
            <family val="2"/>
          </rPr>
          <t>Ruwe schatting want het hangt erg af van het model en voor elektrische auto's weten we het nog nauwelijks.</t>
        </r>
      </text>
    </comment>
    <comment ref="B29" authorId="0">
      <text>
        <r>
          <rPr>
            <sz val="9"/>
            <color indexed="81"/>
            <rFont val="Tahoma"/>
            <family val="2"/>
          </rPr>
          <t>Het gaat hier vooral om de winst in het jaar waarop u de kosten voor de auto maakt en waarop u de aftrekposten voor MIA en KIA in stelling brengt.
We nemen even aan dat u alle aftrekposten en kosten behalve uw DGA salaris en de auto waar het hier om gaat al van de winst heeft afgetrokken.
De VAMIL geeft u de mogelijkheid om de afschrijving vrijelijk in de tijd te verschuiven, bijvoorbeeeld als u het eerste jaar door de MIA en de KIA al zoveel aftrek heeft dat u in een lager belastingtarief terecht dreigt te komen.</t>
        </r>
      </text>
    </comment>
    <comment ref="C29" authorId="0">
      <text>
        <r>
          <rPr>
            <sz val="9"/>
            <color indexed="81"/>
            <rFont val="Tahoma"/>
            <family val="2"/>
          </rPr>
          <t>Het gaat hier vooral om de winst in het jaar waarop u de kosten voor de auto maakt en waarop u de aftrekposten voor MIA en KIA in stelling brengt.
We nemen even aan dat u alle aftrekposten en kosten behalve uw DGA salaris en de auto waar het hier om gaat al van de winst heeft afgetrokken.
De VAMIL geeft u de mogelijkheid om de afschrijving vrijelijk in de tijd te verschuiven, bijvoorbeeeld als u het eerste jaar door de MIA en de KIA al zoveel aftrek heeft dat u in een lager belastingtarief terecht dreigt te komen.</t>
        </r>
      </text>
    </comment>
    <comment ref="D29" authorId="0">
      <text>
        <r>
          <rPr>
            <sz val="9"/>
            <color indexed="81"/>
            <rFont val="Tahoma"/>
            <family val="2"/>
          </rPr>
          <t>Het gaat hier vooral om de winst in het jaar waarop u de kosten voor de auto maakt en waarop u de aftrekposten voor MIA en KIA in stelling brengt.
We nemen even aan dat u alle aftrekposten en kosten behalve uw DGA salaris en de auto waar het hier om gaat al van de winst heeft afgetrokken.
De VAMIL geeft u de mogelijkheid om de afschrijving vrijelijk in de tijd te verschuiven, bijvoorbeeeld als u het eerste jaar door de MIA en de KIA al zoveel aftrek heeft dat u in een lager belastingtarief terecht dreigt te komen.</t>
        </r>
      </text>
    </comment>
    <comment ref="E29" authorId="0">
      <text>
        <r>
          <rPr>
            <sz val="9"/>
            <color indexed="81"/>
            <rFont val="Tahoma"/>
            <family val="2"/>
          </rPr>
          <t>Het gaat hier vooral om de winst in het jaar waarop u de kosten voor de auto maakt en waarop u de aftrekposten voor MIA en KIA in stelling brengt.
We nemen even aan dat u alle aftrekposten en kosten behalve uw DGA salaris en de auto waar het hier om gaat al van de winst heeft afgetrokken.
De VAMIL geeft u de mogelijkheid om de afschrijving vrijelijk in de tijd te verschuiven, bijvoorbeeeld als u het eerste jaar door de MIA en de KIA al zoveel aftrek heeft dat u in een lager belastingtarief terecht dreigt te komen.</t>
        </r>
      </text>
    </comment>
    <comment ref="F29" authorId="0">
      <text>
        <r>
          <rPr>
            <sz val="9"/>
            <color indexed="81"/>
            <rFont val="Tahoma"/>
            <family val="2"/>
          </rPr>
          <t>Het gaat hier vooral om de winst in het jaar waarop u de kosten voor de auto maakt en waarop u de aftrekposten voor MIA en KIA in stelling brengt.
We nemen even aan dat u alle aftrekposten en kosten behalve uw DGA salaris en de auto waar het hier om gaat al van de winst heeft afgetrokken.
De VAMIL geeft u de mogelijkheid om de afschrijving vrijelijk in de tijd te verschuiven, bijvoorbeeeld als u het eerste jaar door de MIA en de KIA al zoveel aftrek heeft dat u in een lager belastingtarief terecht dreigt te komen.</t>
        </r>
      </text>
    </comment>
    <comment ref="G29" authorId="0">
      <text>
        <r>
          <rPr>
            <sz val="9"/>
            <color indexed="81"/>
            <rFont val="Tahoma"/>
            <family val="2"/>
          </rPr>
          <t>Het gaat hier vooral om de winst in het jaar waarop u de kosten voor de auto maakt en waarop u de aftrekposten voor MIA en KIA in stelling brengt.
We nemen even aan dat u alle aftrekposten en kosten behalve uw DGA salaris en de auto waar het hier om gaat al van de winst heeft afgetrokken.
De VAMIL geeft u de mogelijkheid om de afschrijving vrijelijk in de tijd te verschuiven, bijvoorbeeeld als u het eerste jaar door de MIA en de KIA al zoveel aftrek heeft dat u in een lager belastingtarief terecht dreigt te komen.</t>
        </r>
      </text>
    </comment>
    <comment ref="H29" authorId="0">
      <text>
        <r>
          <rPr>
            <sz val="9"/>
            <color indexed="81"/>
            <rFont val="Tahoma"/>
            <family val="2"/>
          </rPr>
          <t>Het gaat hier vooral om de winst in het jaar waarop u de kosten voor de auto maakt en waarop u de aftrekposten voor MIA en KIA in stelling brengt.
We nemen even aan dat u alle aftrekposten en kosten behalve uw DGA salaris en de auto waar het hier om gaat al van de winst heeft afgetrokken.
De VAMIL geeft u de mogelijkheid om de afschrijving vrijelijk in de tijd te verschuiven, bijvoorbeeeld als u het eerste jaar door de MIA en de KIA al zoveel aftrek heeft dat u in een lager belastingtarief terecht dreigt te komen.</t>
        </r>
      </text>
    </comment>
    <comment ref="I29" authorId="0">
      <text>
        <r>
          <rPr>
            <sz val="9"/>
            <color indexed="81"/>
            <rFont val="Tahoma"/>
            <family val="2"/>
          </rPr>
          <t>Het gaat hier vooral om de winst in het jaar waarop u de kosten voor de auto maakt en waarop u de aftrekposten voor MIA en KIA in stelling brengt.
We nemen even aan dat u alle aftrekposten en kosten behalve uw DGA salaris en de auto waar het hier om gaat al van de winst heeft afgetrokken.
De VAMIL geeft u de mogelijkheid om de afschrijving vrijelijk in de tijd te verschuiven, bijvoorbeeeld als u het eerste jaar door de MIA en de KIA al zoveel aftrek heeft dat u in een lager belastingtarief terecht dreigt te komen.</t>
        </r>
      </text>
    </comment>
    <comment ref="J29" authorId="0">
      <text>
        <r>
          <rPr>
            <sz val="9"/>
            <color indexed="81"/>
            <rFont val="Tahoma"/>
            <family val="2"/>
          </rPr>
          <t>Het gaat hier vooral om de winst in het jaar waarop u de kosten voor de auto maakt en waarop u de aftrekposten voor MIA en KIA in stelling brengt.
We nemen even aan dat u alle aftrekposten en kosten behalve uw DGA salaris en de auto waar het hier om gaat al van de winst heeft afgetrokken.
De VAMIL geeft u de mogelijkheid om de afschrijving vrijelijk in de tijd te verschuiven, bijvoorbeeeld als u het eerste jaar door de MIA en de KIA al zoveel aftrek heeft dat u in een lager belastingtarief terecht dreigt te komen.</t>
        </r>
      </text>
    </comment>
    <comment ref="K29" authorId="0">
      <text>
        <r>
          <rPr>
            <sz val="9"/>
            <color indexed="81"/>
            <rFont val="Tahoma"/>
            <family val="2"/>
          </rPr>
          <t>Het gaat hier vooral om de winst in het jaar waarop u de kosten voor de auto maakt en waarop u de aftrekposten voor MIA en KIA in stelling brengt.
We nemen even aan dat u alle aftrekposten en kosten behalve uw DGA salaris en de auto waar het hier om gaat al van de winst heeft afgetrokken.
De VAMIL geeft u de mogelijkheid om de afschrijving vrijelijk in de tijd te verschuiven, bijvoorbeeeld als u het eerste jaar door de MIA en de KIA al zoveel aftrek heeft dat u in een lager belastingtarief terecht dreigt te komen.</t>
        </r>
      </text>
    </comment>
    <comment ref="B30" authorId="0">
      <text>
        <r>
          <rPr>
            <sz val="9"/>
            <color indexed="81"/>
            <rFont val="Tahoma"/>
            <family val="2"/>
          </rPr>
          <t>Als u activiteiten verricht voor de BV zult u zichzelf een inkomen moeten geven. 
Een vuistregel is dat dit inkomen tussen de 56% en 70% van de winst dient te liggen.
Door ondermeer de MIA en KIA is er volgens de belastingdienst sprake van een lagere winst. Dat scheelt niet alleen in de vennootschapsbelasting maar het schept ook de mogelijkheid om uzelf een lager salaris uit te keren. Dat scheelt in de inkomstenbelasting.</t>
        </r>
      </text>
    </comment>
    <comment ref="C30" authorId="0">
      <text>
        <r>
          <rPr>
            <sz val="9"/>
            <color indexed="81"/>
            <rFont val="Tahoma"/>
            <family val="2"/>
          </rPr>
          <t>Als u activiteiten verricht voor de BV zult u zichzelf een inkomen moeten geven. 
Een vuistregel is dat dit inkomen tussen de 56% en 70% van de winst dient te liggen.
Door ondermeer de MIA en KIA is er volgens de belastingdienst sprake van een lagere winst. Dat scheelt niet alleen in de vennootschapsbelasting maar het schept ook de mogelijkheid om uzelf een lager salaris uit te keren. Dat scheelt in de inkomstenbelasting.</t>
        </r>
      </text>
    </comment>
    <comment ref="D30" authorId="0">
      <text>
        <r>
          <rPr>
            <sz val="9"/>
            <color indexed="81"/>
            <rFont val="Tahoma"/>
            <family val="2"/>
          </rPr>
          <t>Als u activiteiten verricht voor de BV zult u zichzelf een inkomen moeten geven. 
Een vuistregel is dat dit inkomen tussen de 56% en 70% van de winst dient te liggen.
Door ondermeer de MIA en KIA is er volgens de belastingdienst sprake van een lagere winst. Dat scheelt niet alleen in de vennootschapsbelasting maar het schept ook de mogelijkheid om uzelf een lager salaris uit te keren. Dat scheelt in de inkomstenbelasting.</t>
        </r>
      </text>
    </comment>
    <comment ref="E30" authorId="0">
      <text>
        <r>
          <rPr>
            <sz val="9"/>
            <color indexed="81"/>
            <rFont val="Tahoma"/>
            <family val="2"/>
          </rPr>
          <t>Als u activiteiten verricht voor de BV zult u zichzelf een inkomen moeten geven. 
Een vuistregel is dat dit inkomen tussen de 56% en 70% van de winst dient te liggen.
Door ondermeer de MIA en KIA is er volgens de belastingdienst sprake van een lagere winst. Dat scheelt niet alleen in de vennootschapsbelasting maar het schept ook de mogelijkheid om uzelf een lager salaris uit te keren. Dat scheelt in de inkomstenbelasting.</t>
        </r>
      </text>
    </comment>
    <comment ref="F30" authorId="0">
      <text>
        <r>
          <rPr>
            <sz val="9"/>
            <color indexed="81"/>
            <rFont val="Tahoma"/>
            <family val="2"/>
          </rPr>
          <t>Als u activiteiten verricht voor de BV zult u zichzelf een inkomen moeten geven. 
Een vuistregel is dat dit inkomen tussen de 56% en 70% van de winst dient te liggen.
Door ondermeer de MIA en KIA is er volgens de belastingdienst sprake van een lagere winst. Dat scheelt niet alleen in de vennootschapsbelasting maar het schept ook de mogelijkheid om uzelf een lager salaris uit te keren. Dat scheelt in de inkomstenbelasting.</t>
        </r>
      </text>
    </comment>
    <comment ref="G30" authorId="0">
      <text>
        <r>
          <rPr>
            <sz val="9"/>
            <color indexed="81"/>
            <rFont val="Tahoma"/>
            <family val="2"/>
          </rPr>
          <t>Als u activiteiten verricht voor de BV zult u zichzelf een inkomen moeten geven. 
Een vuistregel is dat dit inkomen tussen de 56% en 70% van de winst dient te liggen.
Door ondermeer de MIA en KIA is er volgens de belastingdienst sprake van een lagere winst. Dat scheelt niet alleen in de vennootschapsbelasting maar het schept ook de mogelijkheid om uzelf een lager salaris uit te keren. Dat scheelt in de inkomstenbelasting.</t>
        </r>
      </text>
    </comment>
    <comment ref="H30" authorId="0">
      <text>
        <r>
          <rPr>
            <sz val="9"/>
            <color indexed="81"/>
            <rFont val="Tahoma"/>
            <family val="2"/>
          </rPr>
          <t>Als u activiteiten verricht voor de BV zult u zichzelf een inkomen moeten geven. 
Een vuistregel is dat dit inkomen tussen de 56% en 70% van de winst dient te liggen.
Door ondermeer de MIA en KIA is er volgens de belastingdienst sprake van een lagere winst. Dat scheelt niet alleen in de vennootschapsbelasting maar het schept ook de mogelijkheid om uzelf een lager salaris uit te keren. Dat scheelt in de inkomstenbelasting.</t>
        </r>
      </text>
    </comment>
    <comment ref="I30" authorId="0">
      <text>
        <r>
          <rPr>
            <sz val="9"/>
            <color indexed="81"/>
            <rFont val="Tahoma"/>
            <family val="2"/>
          </rPr>
          <t>Als u activiteiten verricht voor de BV zult u zichzelf een inkomen moeten geven. 
Een vuistregel is dat dit inkomen tussen de 56% en 70% van de winst dient te liggen.
Door ondermeer de MIA en KIA is er volgens de belastingdienst sprake van een lagere winst. Dat scheelt niet alleen in de vennootschapsbelasting maar het schept ook de mogelijkheid om uzelf een lager salaris uit te keren. Dat scheelt in de inkomstenbelasting.</t>
        </r>
      </text>
    </comment>
    <comment ref="J30" authorId="0">
      <text>
        <r>
          <rPr>
            <sz val="9"/>
            <color indexed="81"/>
            <rFont val="Tahoma"/>
            <family val="2"/>
          </rPr>
          <t>Als u activiteiten verricht voor de BV zult u zichzelf een inkomen moeten geven. 
Een vuistregel is dat dit inkomen tussen de 56% en 70% van de winst dient te liggen.
Door ondermeer de MIA en KIA is er volgens de belastingdienst sprake van een lagere winst. Dat scheelt niet alleen in de vennootschapsbelasting maar het schept ook de mogelijkheid om uzelf een lager salaris uit te keren. Dat scheelt in de inkomstenbelasting.</t>
        </r>
      </text>
    </comment>
    <comment ref="K30" authorId="0">
      <text>
        <r>
          <rPr>
            <sz val="9"/>
            <color indexed="81"/>
            <rFont val="Tahoma"/>
            <family val="2"/>
          </rPr>
          <t>Als u activiteiten verricht voor de BV zult u zichzelf een inkomen moeten geven. 
Een vuistregel is dat dit inkomen tussen de 56% en 70% van de winst dient te liggen.
Door ondermeer de MIA en KIA is er volgens de belastingdienst sprake van een lagere winst. Dat scheelt niet alleen in de vennootschapsbelasting maar het schept ook de mogelijkheid om uzelf een lager salaris uit te keren. Dat scheelt in de inkomstenbelasting.</t>
        </r>
      </text>
    </comment>
    <comment ref="B31" authorId="0">
      <text>
        <r>
          <rPr>
            <sz val="9"/>
            <color indexed="81"/>
            <rFont val="Tahoma"/>
            <family val="2"/>
          </rPr>
          <t>De toename van het eigen vermogen kan deels als dividend worden uitgekeerd maar het is de vraag of u dit wilt en of dit verstandig is. 
Hier kunt u bepalen welk percentage van de toename u als dividend aan uzelf wenst uit te keren. Daarover betaalt u 25% dividendbelasting.</t>
        </r>
      </text>
    </comment>
    <comment ref="C31" authorId="0">
      <text>
        <r>
          <rPr>
            <sz val="9"/>
            <color indexed="81"/>
            <rFont val="Tahoma"/>
            <family val="2"/>
          </rPr>
          <t>De toename van het eigen vermogen kan deels als dividend worden uitgekeerd maar het is de vraag of u dit wilt en of dit verstandig is. 
Hier kunt u bepalen welk percentage van de toename u als dividend aan uzelf wenst uit te keren. Daarover betaalt u 25% dividendbelasting.</t>
        </r>
      </text>
    </comment>
    <comment ref="D31" authorId="0">
      <text>
        <r>
          <rPr>
            <sz val="9"/>
            <color indexed="81"/>
            <rFont val="Tahoma"/>
            <family val="2"/>
          </rPr>
          <t>De toename van het eigen vermogen kan deels als dividend worden uitgekeerd maar het is de vraag of u dit wilt en of dit verstandig is. 
Hier kunt u bepalen welk percentage van de toename u als dividend aan uzelf wenst uit te keren. Daarover betaalt u 25% dividendbelasting.</t>
        </r>
      </text>
    </comment>
    <comment ref="E31" authorId="0">
      <text>
        <r>
          <rPr>
            <sz val="9"/>
            <color indexed="81"/>
            <rFont val="Tahoma"/>
            <family val="2"/>
          </rPr>
          <t>De toename van het eigen vermogen kan deels als dividend worden uitgekeerd maar het is de vraag of u dit wilt en of dit verstandig is. 
Hier kunt u bepalen welk percentage van de toename u als dividend aan uzelf wenst uit te keren. Daarover betaalt u 25% dividendbelasting.</t>
        </r>
      </text>
    </comment>
    <comment ref="F31" authorId="0">
      <text>
        <r>
          <rPr>
            <sz val="9"/>
            <color indexed="81"/>
            <rFont val="Tahoma"/>
            <family val="2"/>
          </rPr>
          <t>De toename van het eigen vermogen kan deels als dividend worden uitgekeerd maar het is de vraag of u dit wilt en of dit verstandig is. 
Hier kunt u bepalen welk percentage van de toename u als dividend aan uzelf wenst uit te keren. Daarover betaalt u 25% dividendbelasting.</t>
        </r>
      </text>
    </comment>
    <comment ref="G31" authorId="0">
      <text>
        <r>
          <rPr>
            <sz val="9"/>
            <color indexed="81"/>
            <rFont val="Tahoma"/>
            <family val="2"/>
          </rPr>
          <t>De toename van het eigen vermogen kan deels als dividend worden uitgekeerd maar het is de vraag of u dit wilt en of dit verstandig is. 
Hier kunt u bepalen welk percentage van de toename u als dividend aan uzelf wenst uit te keren. Daarover betaalt u 25% dividendbelasting.</t>
        </r>
      </text>
    </comment>
    <comment ref="H31" authorId="0">
      <text>
        <r>
          <rPr>
            <sz val="9"/>
            <color indexed="81"/>
            <rFont val="Tahoma"/>
            <family val="2"/>
          </rPr>
          <t>De toename van het eigen vermogen kan deels als dividend worden uitgekeerd maar het is de vraag of u dit wilt en of dit verstandig is. 
Hier kunt u bepalen welk percentage van de toename u als dividend aan uzelf wenst uit te keren. Daarover betaalt u 25% dividendbelasting.</t>
        </r>
      </text>
    </comment>
    <comment ref="I31" authorId="0">
      <text>
        <r>
          <rPr>
            <sz val="9"/>
            <color indexed="81"/>
            <rFont val="Tahoma"/>
            <family val="2"/>
          </rPr>
          <t>De toename van het eigen vermogen kan deels als dividend worden uitgekeerd maar het is de vraag of u dit wilt en of dit verstandig is. 
Hier kunt u bepalen welk percentage van de toename u als dividend aan uzelf wenst uit te keren. Daarover betaalt u 25% dividendbelasting.</t>
        </r>
      </text>
    </comment>
    <comment ref="J31" authorId="0">
      <text>
        <r>
          <rPr>
            <sz val="9"/>
            <color indexed="81"/>
            <rFont val="Tahoma"/>
            <family val="2"/>
          </rPr>
          <t>De toename van het eigen vermogen kan deels als dividend worden uitgekeerd maar het is de vraag of u dit wilt en of dit verstandig is. 
Hier kunt u bepalen welk percentage van de toename u als dividend aan uzelf wenst uit te keren. Daarover betaalt u 25% dividendbelasting.</t>
        </r>
      </text>
    </comment>
    <comment ref="K31" authorId="0">
      <text>
        <r>
          <rPr>
            <sz val="9"/>
            <color indexed="81"/>
            <rFont val="Tahoma"/>
            <family val="2"/>
          </rPr>
          <t>De toename van het eigen vermogen kan deels als dividend worden uitgekeerd maar het is de vraag of u dit wilt en of dit verstandig is. 
Hier kunt u bepalen welk percentage van de toename u als dividend aan uzelf wenst uit te keren. Daarover betaalt u 25% dividendbelasting.</t>
        </r>
      </text>
    </comment>
    <comment ref="B32" authorId="0">
      <text>
        <r>
          <rPr>
            <sz val="9"/>
            <color indexed="81"/>
            <rFont val="Tahoma"/>
            <family val="2"/>
          </rPr>
          <t>De vennootschapsbelasting is 20% bij een belastbare winst tot 2 ton en 25% voor de winst daarboven.</t>
        </r>
      </text>
    </comment>
    <comment ref="C32" authorId="0">
      <text>
        <r>
          <rPr>
            <sz val="9"/>
            <color indexed="81"/>
            <rFont val="Tahoma"/>
            <family val="2"/>
          </rPr>
          <t>De vennootschapsbelasting is 20% bij een belastbare winst tot 2 ton en 25% voor de winst daarboven.</t>
        </r>
      </text>
    </comment>
    <comment ref="D32" authorId="0">
      <text>
        <r>
          <rPr>
            <sz val="9"/>
            <color indexed="81"/>
            <rFont val="Tahoma"/>
            <family val="2"/>
          </rPr>
          <t>De vennootschapsbelasting is 20% bij een belastbare winst tot 2 ton en 25% voor de winst daarboven.</t>
        </r>
      </text>
    </comment>
    <comment ref="E32" authorId="0">
      <text>
        <r>
          <rPr>
            <sz val="9"/>
            <color indexed="81"/>
            <rFont val="Tahoma"/>
            <family val="2"/>
          </rPr>
          <t>De vennootschapsbelasting is 20% bij een belastbare winst tot 2 ton en 25% voor de winst daarboven.</t>
        </r>
      </text>
    </comment>
    <comment ref="F32" authorId="0">
      <text>
        <r>
          <rPr>
            <sz val="9"/>
            <color indexed="81"/>
            <rFont val="Tahoma"/>
            <family val="2"/>
          </rPr>
          <t>De vennootschapsbelasting is 20% bij een belastbare winst tot 2 ton en 25% voor de winst daarboven.</t>
        </r>
      </text>
    </comment>
    <comment ref="G32" authorId="0">
      <text>
        <r>
          <rPr>
            <sz val="9"/>
            <color indexed="81"/>
            <rFont val="Tahoma"/>
            <family val="2"/>
          </rPr>
          <t>De vennootschapsbelasting is 20% bij een belastbare winst tot 2 ton en 25% voor de winst daarboven.</t>
        </r>
      </text>
    </comment>
    <comment ref="H32" authorId="0">
      <text>
        <r>
          <rPr>
            <sz val="9"/>
            <color indexed="81"/>
            <rFont val="Tahoma"/>
            <family val="2"/>
          </rPr>
          <t>De vennootschapsbelasting is 20% bij een belastbare winst tot 2 ton en 25% voor de winst daarboven.</t>
        </r>
      </text>
    </comment>
    <comment ref="I32" authorId="0">
      <text>
        <r>
          <rPr>
            <sz val="9"/>
            <color indexed="81"/>
            <rFont val="Tahoma"/>
            <family val="2"/>
          </rPr>
          <t>De vennootschapsbelasting is 20% bij een belastbare winst tot 2 ton en 25% voor de winst daarboven.</t>
        </r>
      </text>
    </comment>
    <comment ref="J32" authorId="0">
      <text>
        <r>
          <rPr>
            <sz val="9"/>
            <color indexed="81"/>
            <rFont val="Tahoma"/>
            <family val="2"/>
          </rPr>
          <t>De vennootschapsbelasting is 20% bij een belastbare winst tot 2 ton en 25% voor de winst daarboven.</t>
        </r>
      </text>
    </comment>
    <comment ref="K32" authorId="0">
      <text>
        <r>
          <rPr>
            <sz val="9"/>
            <color indexed="81"/>
            <rFont val="Tahoma"/>
            <family val="2"/>
          </rPr>
          <t>De vennootschapsbelasting is 20% bij een belastbare winst tot 2 ton en 25% voor de winst daarboven.</t>
        </r>
      </text>
    </comment>
    <comment ref="A33" authorId="0">
      <text>
        <r>
          <rPr>
            <sz val="9"/>
            <color indexed="81"/>
            <rFont val="Tahoma"/>
            <family val="2"/>
          </rPr>
          <t>Vul hier de belasting in die u betaalt over de laatste schijf van uw inkomen. 
Als u minder dan ongeveer 20k (twintig duizend euro) per jaar verdient is dat 37%.
Als u meer dan ongeveer 20k per jaar verdient is dat 42%. 
Als u meer dan ongeveer 56k per jaar verdient is dat 52%.
Het wijkt af voor AOW'ers en je moet rekening houden met allerlei aftrekposten.
Meer informatie op www.belastingdienst.nl. Zoek op schijven.
Wat te doen als uw inkomen door het aftrekken van de auto onder de 52% komt?
Dan kunt u waarchijnlijk het beste met de VAMIL proberen om een deel van de aftrek naar volgens jaar te verplaatsen.
Als dat niet kan of uitkomt zou ik het gemiddelde nemen van beide schijven. Als het voornamelijk om het deel boven 56k gaat wat meer richting 52% en anders wat meer richting 42%.
Voorbeeld:
Voor ik een auto kocht verdiende ik volgens de belastingdienst 70k.
Over het deel boven 56k (=14k) moest ik 52% belating betalen (~7k).
Als ik 14k af kan trekken is het simpel. Dan heb ik 7k "voordeel".
Maar als ik 28k af kan trekken? Wat dan?
Awel, over de eerste 14k heb je dus 7k "voordeel".
Over de volgende 14k heb je 42% (~6k).
Gemiddeld had je anders precies 47% belasting betaald over die 28k.
Dit is dus het belastingpercentage dat ik in zou vullen.</t>
        </r>
      </text>
    </comment>
    <comment ref="B33" authorId="0">
      <text>
        <r>
          <rPr>
            <sz val="9"/>
            <color indexed="81"/>
            <rFont val="Tahoma"/>
            <family val="2"/>
          </rPr>
          <t>Vul hier de belasting in die u betaalt over de laatste schijf van uw inkomen. 
Als u minder dan ongeveer 20k (twintig duizend euro) per jaar verdient is dat 37%.
Als u meer dan ongeveer 20k per jaar verdient is dat 42%. 
Als u meer dan ongeveer 56k per jaar verdient is dat 52%.
Het wijkt af voor AOW'ers en je moet rekening houden met allerlei aftrekposten.
Meer informatie op www.belastingdienst.nl. Zoek op schijven.
Wat te doen als uw inkomen door het aftrekken van de auto onder de 52% komt?
Dan kunt u waarchijnlijk het beste met de VAMIL proberen om een deel van de aftrek naar volgens jaar te verplaatsen.
Als dat niet kan of uitkomt zou ik het gemiddelde nemen van beide schijven. Als het voornamelijk om het deel boven 56k gaat wat meer richting 52% en anders wat meer richting 42%.
Voorbeeld:
Voor ik een auto kocht verdiende ik volgens de belastingdienst 70k.
Over het deel boven 56k (=14k) moest ik 52% belating betalen (~7k).
Als ik 14k af kan trekken is het simpel. Dan heb ik 7k "voordeel".
Maar als ik 28k af kan trekken? Wat dan?
Awel, over de eerste 14k heb je dus 7k "voordeel".
Over de volgende 14k heb je 42% (~6k).
Gemiddeld had je anders precies 47% belasting betaald over die 28k.
Dit is dus het belastingpercentage dat ik in zou vullen.</t>
        </r>
      </text>
    </comment>
    <comment ref="C33" authorId="0">
      <text>
        <r>
          <rPr>
            <sz val="9"/>
            <color indexed="81"/>
            <rFont val="Tahoma"/>
            <family val="2"/>
          </rPr>
          <t>Vul hier de belasting in die u betaalt over de laatste schijf van uw inkomen. 
Als u minder dan ongeveer 20k (twintig duizend euro) per jaar verdient is dat 37%.
Als u meer dan ongeveer 20k per jaar verdient is dat 42%. 
Als u meer dan ongeveer 56k per jaar verdient is dat 52%.
Het wijkt af voor AOW'ers en je moet rekening houden met allerlei aftrekposten.
Meer informatie op www.belastingdienst.nl. Zoek op schijven.
Wat te doen als uw inkomen door het aftrekken van de auto onder de 52% komt?
Dan kunt u waarchijnlijk het beste met de VAMIL proberen om een deel van de aftrek naar volgens jaar te verplaatsen.
Als dat niet kan of uitkomt zou ik het gemiddelde nemen van beide schijven. Als het voornamelijk om het deel boven 56k gaat wat meer richting 52% en anders wat meer richting 42%.
Voorbeeld:
Voor ik een auto kocht verdiende ik volgens de belastingdienst 70k.
Over het deel boven 56k (=14k) moest ik 52% belating betalen (~7k).
Als ik 14k af kan trekken is het simpel. Dan heb ik 7k "voordeel".
Maar als ik 28k af kan trekken? Wat dan?
Awel, over de eerste 14k heb je dus 7k "voordeel".
Over de volgende 14k heb je 42% (~6k).
Gemiddeld had je anders precies 47% belasting betaald over die 28k.
Dit is dus het belastingpercentage dat ik in zou vullen.</t>
        </r>
      </text>
    </comment>
    <comment ref="D33" authorId="0">
      <text>
        <r>
          <rPr>
            <sz val="9"/>
            <color indexed="81"/>
            <rFont val="Tahoma"/>
            <family val="2"/>
          </rPr>
          <t>Vul hier de belasting in die u betaalt over de laatste schijf van uw inkomen. 
Als u minder dan ongeveer 20k (twintig duizend euro) per jaar verdient is dat 37%.
Als u meer dan ongeveer 20k per jaar verdient is dat 42%. 
Als u meer dan ongeveer 56k per jaar verdient is dat 52%.
Het wijkt af voor AOW'ers en je moet rekening houden met allerlei aftrekposten.
Meer informatie op www.belastingdienst.nl. Zoek op schijven.
Wat te doen als uw inkomen door het aftrekken van de auto onder de 52% komt?
Dan kunt u waarchijnlijk het beste met de VAMIL proberen om een deel van de aftrek naar volgens jaar te verplaatsen.
Als dat niet kan of uitkomt zou ik het gemiddelde nemen van beide schijven. Als het voornamelijk om het deel boven 56k gaat wat meer richting 52% en anders wat meer richting 42%.
Voorbeeld:
Voor ik een auto kocht verdiende ik volgens de belastingdienst 70k.
Over het deel boven 56k (=14k) moest ik 52% belating betalen (~7k).
Als ik 14k af kan trekken is het simpel. Dan heb ik 7k "voordeel".
Maar als ik 28k af kan trekken? Wat dan?
Awel, over de eerste 14k heb je dus 7k "voordeel".
Over de volgende 14k heb je 42% (~6k).
Gemiddeld had je anders precies 47% belasting betaald over die 28k.
Dit is dus het belastingpercentage dat ik in zou vullen.</t>
        </r>
      </text>
    </comment>
    <comment ref="E33" authorId="0">
      <text>
        <r>
          <rPr>
            <sz val="9"/>
            <color indexed="81"/>
            <rFont val="Tahoma"/>
            <family val="2"/>
          </rPr>
          <t>Vul hier de belasting in die u betaalt over de laatste schijf van uw inkomen. 
Als u minder dan ongeveer 20k (twintig duizend euro) per jaar verdient is dat 37%.
Als u meer dan ongeveer 20k per jaar verdient is dat 42%. 
Als u meer dan ongeveer 56k per jaar verdient is dat 52%.
Het wijkt af voor AOW'ers en je moet rekening houden met allerlei aftrekposten.
Meer informatie op www.belastingdienst.nl. Zoek op schijven.
Wat te doen als uw inkomen door het aftrekken van de auto onder de 52% komt?
Dan kunt u waarchijnlijk het beste met de VAMIL proberen om een deel van de aftrek naar volgens jaar te verplaatsen.
Als dat niet kan of uitkomt zou ik het gemiddelde nemen van beide schijven. Als het voornamelijk om het deel boven 56k gaat wat meer richting 52% en anders wat meer richting 42%.
Voorbeeld:
Voor ik een auto kocht verdiende ik volgens de belastingdienst 70k.
Over het deel boven 56k (=14k) moest ik 52% belating betalen (~7k).
Als ik 14k af kan trekken is het simpel. Dan heb ik 7k "voordeel".
Maar als ik 28k af kan trekken? Wat dan?
Awel, over de eerste 14k heb je dus 7k "voordeel".
Over de volgende 14k heb je 42% (~6k).
Gemiddeld had je anders precies 47% belasting betaald over die 28k.
Dit is dus het belastingpercentage dat ik in zou vullen.</t>
        </r>
      </text>
    </comment>
    <comment ref="F33" authorId="0">
      <text>
        <r>
          <rPr>
            <sz val="9"/>
            <color indexed="81"/>
            <rFont val="Tahoma"/>
            <family val="2"/>
          </rPr>
          <t>Vul hier de belasting in die u betaalt over de laatste schijf van uw inkomen. 
Als u minder dan ongeveer 20k (twintig duizend euro) per jaar verdient is dat 37%.
Als u meer dan ongeveer 20k per jaar verdient is dat 42%. 
Als u meer dan ongeveer 56k per jaar verdient is dat 52%.
Het wijkt af voor AOW'ers en je moet rekening houden met allerlei aftrekposten.
Meer informatie op www.belastingdienst.nl. Zoek op schijven.
Wat te doen als uw inkomen door het aftrekken van de auto onder de 52% komt?
Dan kunt u waarchijnlijk het beste met de VAMIL proberen om een deel van de aftrek naar volgens jaar te verplaatsen.
Als dat niet kan of uitkomt zou ik het gemiddelde nemen van beide schijven. Als het voornamelijk om het deel boven 56k gaat wat meer richting 52% en anders wat meer richting 42%.
Voorbeeld:
Voor ik een auto kocht verdiende ik volgens de belastingdienst 70k.
Over het deel boven 56k (=14k) moest ik 52% belating betalen (~7k).
Als ik 14k af kan trekken is het simpel. Dan heb ik 7k "voordeel".
Maar als ik 28k af kan trekken? Wat dan?
Awel, over de eerste 14k heb je dus 7k "voordeel".
Over de volgende 14k heb je 42% (~6k).
Gemiddeld had je anders precies 47% belasting betaald over die 28k.
Dit is dus het belastingpercentage dat ik in zou vullen.</t>
        </r>
      </text>
    </comment>
    <comment ref="G33" authorId="0">
      <text>
        <r>
          <rPr>
            <sz val="9"/>
            <color indexed="81"/>
            <rFont val="Tahoma"/>
            <family val="2"/>
          </rPr>
          <t>Vul hier de belasting in die u betaalt over de laatste schijf van uw inkomen. 
Als u minder dan ongeveer 20k (twintig duizend euro) per jaar verdient is dat 37%.
Als u meer dan ongeveer 20k per jaar verdient is dat 42%. 
Als u meer dan ongeveer 56k per jaar verdient is dat 52%.
Het wijkt af voor AOW'ers en je moet rekening houden met allerlei aftrekposten.
Meer informatie op www.belastingdienst.nl. Zoek op schijven.
Wat te doen als uw inkomen door het aftrekken van de auto onder de 52% komt?
Dan kunt u waarchijnlijk het beste met de VAMIL proberen om een deel van de aftrek naar volgens jaar te verplaatsen.
Als dat niet kan of uitkomt zou ik het gemiddelde nemen van beide schijven. Als het voornamelijk om het deel boven 56k gaat wat meer richting 52% en anders wat meer richting 42%.
Voorbeeld:
Voor ik een auto kocht verdiende ik volgens de belastingdienst 70k.
Over het deel boven 56k (=14k) moest ik 52% belating betalen (~7k).
Als ik 14k af kan trekken is het simpel. Dan heb ik 7k "voordeel".
Maar als ik 28k af kan trekken? Wat dan?
Awel, over de eerste 14k heb je dus 7k "voordeel".
Over de volgende 14k heb je 42% (~6k).
Gemiddeld had je anders precies 47% belasting betaald over die 28k.
Dit is dus het belastingpercentage dat ik in zou vullen.</t>
        </r>
      </text>
    </comment>
    <comment ref="H33" authorId="0">
      <text>
        <r>
          <rPr>
            <sz val="9"/>
            <color indexed="81"/>
            <rFont val="Tahoma"/>
            <family val="2"/>
          </rPr>
          <t>Vul hier de belasting in die u betaalt over de laatste schijf van uw inkomen. 
Als u minder dan ongeveer 20k (twintig duizend euro) per jaar verdient is dat 37%.
Als u meer dan ongeveer 20k per jaar verdient is dat 42%. 
Als u meer dan ongeveer 56k per jaar verdient is dat 52%.
Het wijkt af voor AOW'ers en je moet rekening houden met allerlei aftrekposten.
Meer informatie op www.belastingdienst.nl. Zoek op schijven.
Wat te doen als uw inkomen door het aftrekken van de auto onder de 52% komt?
Dan kunt u waarchijnlijk het beste met de VAMIL proberen om een deel van de aftrek naar volgens jaar te verplaatsen.
Als dat niet kan of uitkomt zou ik het gemiddelde nemen van beide schijven. Als het voornamelijk om het deel boven 56k gaat wat meer richting 52% en anders wat meer richting 42%.
Voorbeeld:
Voor ik een auto kocht verdiende ik volgens de belastingdienst 70k.
Over het deel boven 56k (=14k) moest ik 52% belating betalen (~7k).
Als ik 14k af kan trekken is het simpel. Dan heb ik 7k "voordeel".
Maar als ik 28k af kan trekken? Wat dan?
Awel, over de eerste 14k heb je dus 7k "voordeel".
Over de volgende 14k heb je 42% (~6k).
Gemiddeld had je anders precies 47% belasting betaald over die 28k.
Dit is dus het belastingpercentage dat ik in zou vullen.</t>
        </r>
      </text>
    </comment>
    <comment ref="I33" authorId="0">
      <text>
        <r>
          <rPr>
            <sz val="9"/>
            <color indexed="81"/>
            <rFont val="Tahoma"/>
            <family val="2"/>
          </rPr>
          <t>Vul hier de belasting in die u betaalt over de laatste schijf van uw inkomen. 
Als u minder dan ongeveer 20k (twintig duizend euro) per jaar verdient is dat 37%.
Als u meer dan ongeveer 20k per jaar verdient is dat 42%. 
Als u meer dan ongeveer 56k per jaar verdient is dat 52%.
Het wijkt af voor AOW'ers en je moet rekening houden met allerlei aftrekposten.
Meer informatie op www.belastingdienst.nl. Zoek op schijven.
Wat te doen als uw inkomen door het aftrekken van de auto onder de 52% komt?
Dan kunt u waarchijnlijk het beste met de VAMIL proberen om een deel van de aftrek naar volgens jaar te verplaatsen.
Als dat niet kan of uitkomt zou ik het gemiddelde nemen van beide schijven. Als het voornamelijk om het deel boven 56k gaat wat meer richting 52% en anders wat meer richting 42%.
Voorbeeld:
Voor ik een auto kocht verdiende ik volgens de belastingdienst 70k.
Over het deel boven 56k (=14k) moest ik 52% belating betalen (~7k).
Als ik 14k af kan trekken is het simpel. Dan heb ik 7k "voordeel".
Maar als ik 28k af kan trekken? Wat dan?
Awel, over de eerste 14k heb je dus 7k "voordeel".
Over de volgende 14k heb je 42% (~6k).
Gemiddeld had je anders precies 47% belasting betaald over die 28k.
Dit is dus het belastingpercentage dat ik in zou vullen.</t>
        </r>
      </text>
    </comment>
    <comment ref="J33" authorId="0">
      <text>
        <r>
          <rPr>
            <sz val="9"/>
            <color indexed="81"/>
            <rFont val="Tahoma"/>
            <family val="2"/>
          </rPr>
          <t>Vul hier de belasting in die u betaalt over de laatste schijf van uw inkomen. 
Als u minder dan ongeveer 20k (twintig duizend euro) per jaar verdient is dat 37%.
Als u meer dan ongeveer 20k per jaar verdient is dat 42%. 
Als u meer dan ongeveer 56k per jaar verdient is dat 52%.
Het wijkt af voor AOW'ers en je moet rekening houden met allerlei aftrekposten.
Meer informatie op www.belastingdienst.nl. Zoek op schijven.
Wat te doen als uw inkomen door het aftrekken van de auto onder de 52% komt?
Dan kunt u waarchijnlijk het beste met de VAMIL proberen om een deel van de aftrek naar volgens jaar te verplaatsen.
Als dat niet kan of uitkomt zou ik het gemiddelde nemen van beide schijven. Als het voornamelijk om het deel boven 56k gaat wat meer richting 52% en anders wat meer richting 42%.
Voorbeeld:
Voor ik een auto kocht verdiende ik volgens de belastingdienst 70k.
Over het deel boven 56k (=14k) moest ik 52% belating betalen (~7k).
Als ik 14k af kan trekken is het simpel. Dan heb ik 7k "voordeel".
Maar als ik 28k af kan trekken? Wat dan?
Awel, over de eerste 14k heb je dus 7k "voordeel".
Over de volgende 14k heb je 42% (~6k).
Gemiddeld had je anders precies 47% belasting betaald over die 28k.
Dit is dus het belastingpercentage dat ik in zou vullen.</t>
        </r>
      </text>
    </comment>
    <comment ref="K33" authorId="0">
      <text>
        <r>
          <rPr>
            <sz val="9"/>
            <color indexed="81"/>
            <rFont val="Tahoma"/>
            <family val="2"/>
          </rPr>
          <t>Vul hier de belasting in die u betaalt over de laatste schijf van uw inkomen. 
Als u minder dan ongeveer 20k (twintig duizend euro) per jaar verdient is dat 37%.
Als u meer dan ongeveer 20k per jaar verdient is dat 42%. 
Als u meer dan ongeveer 56k per jaar verdient is dat 52%.
Het wijkt af voor AOW'ers en je moet rekening houden met allerlei aftrekposten.
Meer informatie op www.belastingdienst.nl. Zoek op schijven.
Wat te doen als uw inkomen door het aftrekken van de auto onder de 52% komt?
Dan kunt u waarchijnlijk het beste met de VAMIL proberen om een deel van de aftrek naar volgens jaar te verplaatsen.
Als dat niet kan of uitkomt zou ik het gemiddelde nemen van beide schijven. Als het voornamelijk om het deel boven 56k gaat wat meer richting 52% en anders wat meer richting 42%.
Voorbeeld:
Voor ik een auto kocht verdiende ik volgens de belastingdienst 70k.
Over het deel boven 56k (=14k) moest ik 52% belating betalen (~7k).
Als ik 14k af kan trekken is het simpel. Dan heb ik 7k "voordeel".
Maar als ik 28k af kan trekken? Wat dan?
Awel, over de eerste 14k heb je dus 7k "voordeel".
Over de volgende 14k heb je 42% (~6k).
Gemiddeld had je anders precies 47% belasting betaald over die 28k.
Dit is dus het belastingpercentage dat ik in zou vullen.</t>
        </r>
      </text>
    </comment>
    <comment ref="B39" authorId="0">
      <text>
        <r>
          <rPr>
            <sz val="9"/>
            <color indexed="81"/>
            <rFont val="Tahoma"/>
            <family val="2"/>
          </rPr>
          <t>Nadat van de belastbare winst de autokosten, MIA en KIA zijn afgetrokken blijft een nieuw getal over. Daarvan nemen we het percentage wat bij C30 is ingevuld).</t>
        </r>
      </text>
    </comment>
    <comment ref="C39" authorId="0">
      <text>
        <r>
          <rPr>
            <sz val="9"/>
            <color indexed="81"/>
            <rFont val="Tahoma"/>
            <family val="2"/>
          </rPr>
          <t>Nadat van de belastbare winst de autokosten, MIA en KIA zijn afgetrokken blijft een nieuw getal over. Daarvan nemen we het percentage wat bij C30 is ingevuld).</t>
        </r>
      </text>
    </comment>
    <comment ref="D39" authorId="0">
      <text>
        <r>
          <rPr>
            <sz val="9"/>
            <color indexed="81"/>
            <rFont val="Tahoma"/>
            <family val="2"/>
          </rPr>
          <t>Nadat van de belastbare winst de autokosten, MIA en KIA zijn afgetrokken blijft een nieuw getal over. Daarvan nemen we het percentage wat bij C30 is ingevuld).</t>
        </r>
      </text>
    </comment>
    <comment ref="E39" authorId="0">
      <text>
        <r>
          <rPr>
            <sz val="9"/>
            <color indexed="81"/>
            <rFont val="Tahoma"/>
            <family val="2"/>
          </rPr>
          <t>Nadat van de belastbare winst de autokosten, MIA en KIA zijn afgetrokken blijft een nieuw getal over. Daarvan nemen we het percentage wat bij C30 is ingevuld).</t>
        </r>
      </text>
    </comment>
    <comment ref="F39" authorId="0">
      <text>
        <r>
          <rPr>
            <sz val="9"/>
            <color indexed="81"/>
            <rFont val="Tahoma"/>
            <family val="2"/>
          </rPr>
          <t>Nadat van de belastbare winst de autokosten, MIA en KIA zijn afgetrokken blijft een nieuw getal over. Daarvan nemen we het percentage wat bij C30 is ingevuld).</t>
        </r>
      </text>
    </comment>
    <comment ref="G39" authorId="0">
      <text>
        <r>
          <rPr>
            <sz val="9"/>
            <color indexed="81"/>
            <rFont val="Tahoma"/>
            <family val="2"/>
          </rPr>
          <t>Nadat van de belastbare winst de autokosten, MIA en KIA zijn afgetrokken blijft een nieuw getal over. Daarvan nemen we het percentage wat bij C30 is ingevuld).</t>
        </r>
      </text>
    </comment>
    <comment ref="H39" authorId="0">
      <text>
        <r>
          <rPr>
            <sz val="9"/>
            <color indexed="81"/>
            <rFont val="Tahoma"/>
            <family val="2"/>
          </rPr>
          <t>Nadat van de belastbare winst de autokosten, MIA en KIA zijn afgetrokken blijft een nieuw getal over. Daarvan nemen we het percentage wat bij C30 is ingevuld).</t>
        </r>
      </text>
    </comment>
    <comment ref="I39" authorId="0">
      <text>
        <r>
          <rPr>
            <sz val="9"/>
            <color indexed="81"/>
            <rFont val="Tahoma"/>
            <family val="2"/>
          </rPr>
          <t>Nadat van de belastbare winst de autokosten, MIA en KIA zijn afgetrokken blijft een nieuw getal over. Daarvan nemen we het percentage wat bij C30 is ingevuld).</t>
        </r>
      </text>
    </comment>
    <comment ref="J39" authorId="0">
      <text>
        <r>
          <rPr>
            <sz val="9"/>
            <color indexed="81"/>
            <rFont val="Tahoma"/>
            <family val="2"/>
          </rPr>
          <t>Nadat van de belastbare winst de autokosten, MIA en KIA zijn afgetrokken blijft een nieuw getal over. Daarvan nemen we het percentage wat bij C30 is ingevuld).</t>
        </r>
      </text>
    </comment>
    <comment ref="K39" authorId="0">
      <text>
        <r>
          <rPr>
            <sz val="9"/>
            <color indexed="81"/>
            <rFont val="Tahoma"/>
            <family val="2"/>
          </rPr>
          <t>Nadat van de belastbare winst de autokosten, MIA en KIA zijn afgetrokken blijft een nieuw getal over. Daarvan nemen we het percentage wat bij C30 is ingevuld).</t>
        </r>
      </text>
    </comment>
  </commentList>
</comments>
</file>

<file path=xl/sharedStrings.xml><?xml version="1.0" encoding="utf-8"?>
<sst xmlns="http://schemas.openxmlformats.org/spreadsheetml/2006/main" count="170" uniqueCount="101">
  <si>
    <t>BTW</t>
  </si>
  <si>
    <t>Verzekering</t>
  </si>
  <si>
    <t>Wegenbelasting</t>
  </si>
  <si>
    <t>Benzine</t>
  </si>
  <si>
    <t>Diesel</t>
  </si>
  <si>
    <t>LPG</t>
  </si>
  <si>
    <t>PHEV</t>
  </si>
  <si>
    <t>Elektriciteit</t>
  </si>
  <si>
    <t>Energiedrager</t>
  </si>
  <si>
    <t>Particulier</t>
  </si>
  <si>
    <t>Leaseauto</t>
  </si>
  <si>
    <t>Eenmanszaak</t>
  </si>
  <si>
    <t>Ja</t>
  </si>
  <si>
    <t>Nee</t>
  </si>
  <si>
    <t>Fiscaal regime</t>
  </si>
  <si>
    <t>Aankoopkorting</t>
  </si>
  <si>
    <t>Bijtellingspercentage</t>
  </si>
  <si>
    <t>Merk</t>
  </si>
  <si>
    <t>Type</t>
  </si>
  <si>
    <t>Gegevens over de auto</t>
  </si>
  <si>
    <t>Gegevens over u</t>
  </si>
  <si>
    <t>Gegevens over gebruik</t>
  </si>
  <si>
    <t>Kilometers per jaar</t>
  </si>
  <si>
    <t>Berekende waarden</t>
  </si>
  <si>
    <t>Energiekosten per kilometer</t>
  </si>
  <si>
    <t>Looptijd in maanden</t>
  </si>
  <si>
    <t>Afschrijving per maand</t>
  </si>
  <si>
    <t>Energiegebruik per 100 km</t>
  </si>
  <si>
    <t>Energiekosten (per liter of kWh)</t>
  </si>
  <si>
    <t>Gewicht</t>
  </si>
  <si>
    <t>LPG3/aardgas</t>
  </si>
  <si>
    <t>Reparatie en onderhoud</t>
  </si>
  <si>
    <t>Energiekosten</t>
  </si>
  <si>
    <t>Inkomensbijtelling gebruiker</t>
  </si>
  <si>
    <t>BTW-privé correctie gebruiker</t>
  </si>
  <si>
    <t>Aftrek MIA voor onderneming</t>
  </si>
  <si>
    <t>Totale kosten (TCO) per maand</t>
  </si>
  <si>
    <t>Berekende fiscale effecten</t>
  </si>
  <si>
    <t>Afschrijving over de looptijd</t>
  </si>
  <si>
    <t>Aftrek maandlasten onderneming</t>
  </si>
  <si>
    <t>Samen kunnen we dit model perfect maken!</t>
  </si>
  <si>
    <t>Tesla</t>
  </si>
  <si>
    <t>Model S</t>
  </si>
  <si>
    <t>BMW</t>
  </si>
  <si>
    <t>M5</t>
  </si>
  <si>
    <t>Volkswagen</t>
  </si>
  <si>
    <t>Golf</t>
  </si>
  <si>
    <t>Nissan</t>
  </si>
  <si>
    <t>Leaf</t>
  </si>
  <si>
    <t>Twizy</t>
  </si>
  <si>
    <t>Renault</t>
  </si>
  <si>
    <t xml:space="preserve">Deze opzet kan onjuistheden bevatten. </t>
  </si>
  <si>
    <t>Wij zijn daarvoor niet aansprakelijk.</t>
  </si>
  <si>
    <t>Of laat commentaar achter op de blogpost</t>
  </si>
  <si>
    <t>Opel</t>
  </si>
  <si>
    <t>Ampera</t>
  </si>
  <si>
    <t>Stuur op- en aanmerkingen aan auke@aukehoekstra.nl</t>
  </si>
  <si>
    <t>Belastingdruk</t>
  </si>
  <si>
    <t>Consumentenprijs incl. BTW</t>
  </si>
  <si>
    <t>Meerkosten incl. BTW</t>
  </si>
  <si>
    <t>Aanschafkosten excl. BTW</t>
  </si>
  <si>
    <t>Restwaarde excl. BTW</t>
  </si>
  <si>
    <t>Bruto maandlasten excl BTW</t>
  </si>
  <si>
    <t>Rentekosten (bij 5,5% rente)</t>
  </si>
  <si>
    <t>Restwaarde tov de norm</t>
  </si>
  <si>
    <t>Belastingdruk privé inkomen</t>
  </si>
  <si>
    <t>Venootschapsbelasting</t>
  </si>
  <si>
    <t>Gegevens over uw BV</t>
  </si>
  <si>
    <t>DGA salaris als perc. van de winst</t>
  </si>
  <si>
    <t>Dividend</t>
  </si>
  <si>
    <t>Winst voor belasting, salaris en auto</t>
  </si>
  <si>
    <t>Geen</t>
  </si>
  <si>
    <t>Auto</t>
  </si>
  <si>
    <t>Niet</t>
  </si>
  <si>
    <t>weghalen!</t>
  </si>
  <si>
    <t>Totale kosten over de looptijd (excl.)</t>
  </si>
  <si>
    <t>Blijft over als belastbare winst</t>
  </si>
  <si>
    <t>Vennootschapsbelasting</t>
  </si>
  <si>
    <t>DGA inkomen</t>
  </si>
  <si>
    <t>Autokosten</t>
  </si>
  <si>
    <t>MIA</t>
  </si>
  <si>
    <t>Inkomen en vennootschapsbelasting</t>
  </si>
  <si>
    <t>Eigen vermogen BV en dividend</t>
  </si>
  <si>
    <t>Toename vermogen BV voor dividend</t>
  </si>
  <si>
    <t>Verdiensten in privé</t>
  </si>
  <si>
    <t>Inkomstenbelasting</t>
  </si>
  <si>
    <t>Dividendbelasting</t>
  </si>
  <si>
    <t>Netto inkomen</t>
  </si>
  <si>
    <t>Netto dividend</t>
  </si>
  <si>
    <t>Tot verdiensten (ink+dividend+verm)</t>
  </si>
  <si>
    <t>Dus: netto kosten van de auto</t>
  </si>
  <si>
    <t>Dus: netto autokosten per maand</t>
  </si>
  <si>
    <t>Toename vermogen BV na dividend</t>
  </si>
  <si>
    <t>Dividend als % verm.toename</t>
  </si>
  <si>
    <t>Aftrek KIA is afgeschaft voor auto's</t>
  </si>
  <si>
    <t>Rentevoordeel VAMIL, is afgechaft voor auto's</t>
  </si>
  <si>
    <t>KIA is afgeschaft voor auto's</t>
  </si>
  <si>
    <t>BTW prive correctie 2,7%</t>
  </si>
  <si>
    <t>Auteur: Auke Hoekstra, update Maarten Steinbuch</t>
  </si>
  <si>
    <t>Versie van 27 sept 2013</t>
  </si>
  <si>
    <t>Rentevoordeel MIA</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</si>
</sst>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quot;\ #,##0;[Red]&quot;€&quot;\ \-#,##0"/>
    <numFmt numFmtId="165" formatCode="&quot;€&quot;\ #,##0"/>
    <numFmt numFmtId="166" formatCode="&quot;€&quot;\ #,##0.00"/>
  </numFmts>
  <fonts count="12" x14ac:knownFonts="1">
    <font>
      <sz val="11"/>
      <color theme="1"/>
      <name val="Calibri"/>
      <family val="2"/>
      <scheme val="minor"/>
    </font>
    <font>
      <sz val="11"/>
      <color theme="1"/>
      <name val="Calibri"/>
      <family val="2"/>
      <scheme val="minor"/>
    </font>
    <font>
      <b/>
      <sz val="11"/>
      <color theme="1"/>
      <name val="Calibri"/>
      <family val="2"/>
      <scheme val="minor"/>
    </font>
    <font>
      <sz val="9"/>
      <color indexed="81"/>
      <name val="Tahoma"/>
      <family val="2"/>
    </font>
    <font>
      <b/>
      <sz val="11"/>
      <color rgb="FFFFFFFF"/>
      <name val="Calibri"/>
      <family val="2"/>
      <scheme val="minor"/>
    </font>
    <font>
      <sz val="11"/>
      <color rgb="FFFFFFFF"/>
      <name val="Calibri"/>
      <family val="2"/>
      <scheme val="minor"/>
    </font>
    <font>
      <b/>
      <sz val="22"/>
      <color rgb="FFFFFFFF"/>
      <name val="Calibri"/>
      <family val="2"/>
      <scheme val="minor"/>
    </font>
    <font>
      <u/>
      <sz val="11"/>
      <color theme="10"/>
      <name val="Calibri"/>
      <family val="2"/>
      <scheme val="minor"/>
    </font>
    <font>
      <b/>
      <sz val="11"/>
      <color theme="0"/>
      <name val="Calibri"/>
      <family val="2"/>
      <scheme val="minor"/>
    </font>
    <font>
      <sz val="11"/>
      <name val="Calibri"/>
      <family val="2"/>
      <scheme val="minor"/>
    </font>
    <font>
      <u/>
      <sz val="11"/>
      <color theme="11"/>
      <name val="Calibri"/>
      <family val="2"/>
      <scheme val="minor"/>
    </font>
    <font>
      <sz val="8"/>
      <name val="Calibri"/>
      <family val="2"/>
      <scheme val="minor"/>
    </font>
  </fonts>
  <fills count="6">
    <fill>
      <patternFill patternType="none"/>
    </fill>
    <fill>
      <patternFill patternType="gray125"/>
    </fill>
    <fill>
      <patternFill patternType="solid">
        <fgColor rgb="FF00B050"/>
        <bgColor indexed="64"/>
      </patternFill>
    </fill>
    <fill>
      <patternFill patternType="solid">
        <fgColor theme="0" tint="-4.9989318521683403E-2"/>
        <bgColor indexed="64"/>
      </patternFill>
    </fill>
    <fill>
      <patternFill patternType="solid">
        <fgColor rgb="FFA7FFA7"/>
        <bgColor indexed="64"/>
      </patternFill>
    </fill>
    <fill>
      <patternFill patternType="solid">
        <fgColor rgb="FF0070C0"/>
        <bgColor indexed="64"/>
      </patternFill>
    </fill>
  </fills>
  <borders count="1">
    <border>
      <left/>
      <right/>
      <top/>
      <bottom/>
      <diagonal/>
    </border>
  </borders>
  <cellStyleXfs count="15">
    <xf numFmtId="0" fontId="0" fillId="0" borderId="0"/>
    <xf numFmtId="0" fontId="1" fillId="0" borderId="0"/>
    <xf numFmtId="0" fontId="7"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cellStyleXfs>
  <cellXfs count="73">
    <xf numFmtId="0" fontId="0" fillId="0" borderId="0" xfId="0"/>
    <xf numFmtId="9" fontId="0" fillId="0" borderId="0" xfId="0" applyNumberFormat="1"/>
    <xf numFmtId="0" fontId="2" fillId="3" borderId="0" xfId="0" applyFont="1" applyFill="1" applyBorder="1" applyAlignment="1" applyProtection="1">
      <alignment horizontal="center"/>
      <protection locked="0"/>
    </xf>
    <xf numFmtId="0" fontId="0" fillId="3" borderId="0" xfId="0" applyFill="1" applyBorder="1" applyAlignment="1" applyProtection="1">
      <alignment horizontal="center"/>
      <protection locked="0"/>
    </xf>
    <xf numFmtId="165" fontId="2" fillId="3" borderId="0" xfId="1" applyNumberFormat="1" applyFont="1" applyFill="1" applyBorder="1" applyAlignment="1" applyProtection="1">
      <alignment horizontal="center"/>
      <protection locked="0"/>
    </xf>
    <xf numFmtId="165" fontId="1" fillId="3" borderId="0" xfId="1" applyNumberFormat="1" applyFont="1" applyFill="1" applyBorder="1" applyAlignment="1" applyProtection="1">
      <alignment horizontal="center"/>
      <protection locked="0"/>
    </xf>
    <xf numFmtId="9" fontId="1" fillId="3" borderId="0" xfId="1" applyNumberFormat="1" applyFont="1" applyFill="1" applyBorder="1" applyAlignment="1" applyProtection="1">
      <alignment horizontal="center"/>
      <protection locked="0"/>
    </xf>
    <xf numFmtId="0" fontId="1" fillId="3" borderId="0" xfId="1" applyFont="1" applyFill="1" applyBorder="1" applyAlignment="1" applyProtection="1">
      <alignment horizontal="center"/>
      <protection locked="0"/>
    </xf>
    <xf numFmtId="166" fontId="0" fillId="3" borderId="0" xfId="0" applyNumberFormat="1" applyFill="1" applyBorder="1" applyAlignment="1" applyProtection="1">
      <alignment horizontal="center"/>
      <protection locked="0"/>
    </xf>
    <xf numFmtId="0" fontId="0" fillId="5" borderId="0" xfId="0" applyFill="1" applyAlignment="1" applyProtection="1">
      <alignment horizontal="center"/>
      <protection locked="0"/>
    </xf>
    <xf numFmtId="0" fontId="0" fillId="3" borderId="0" xfId="0" applyFill="1" applyAlignment="1" applyProtection="1">
      <alignment horizontal="center"/>
      <protection locked="0"/>
    </xf>
    <xf numFmtId="3" fontId="0" fillId="3" borderId="0" xfId="0" applyNumberFormat="1" applyFill="1" applyAlignment="1" applyProtection="1">
      <alignment horizontal="center"/>
      <protection locked="0"/>
    </xf>
    <xf numFmtId="0" fontId="5" fillId="5" borderId="0" xfId="0" applyFont="1" applyFill="1" applyAlignment="1" applyProtection="1">
      <alignment horizontal="center"/>
      <protection locked="0"/>
    </xf>
    <xf numFmtId="0" fontId="1" fillId="3" borderId="0" xfId="1" applyFont="1" applyFill="1" applyAlignment="1" applyProtection="1">
      <alignment horizontal="center"/>
      <protection locked="0"/>
    </xf>
    <xf numFmtId="9" fontId="1" fillId="3" borderId="0" xfId="1" applyNumberFormat="1" applyFont="1" applyFill="1" applyAlignment="1" applyProtection="1">
      <alignment horizontal="center"/>
      <protection locked="0"/>
    </xf>
    <xf numFmtId="0" fontId="4" fillId="5" borderId="0" xfId="0" applyFont="1" applyFill="1" applyBorder="1" applyAlignment="1" applyProtection="1">
      <alignment horizontal="right"/>
      <protection locked="0"/>
    </xf>
    <xf numFmtId="0" fontId="0" fillId="5" borderId="0" xfId="0" applyFill="1" applyBorder="1" applyAlignment="1" applyProtection="1">
      <alignment horizontal="right"/>
      <protection locked="0"/>
    </xf>
    <xf numFmtId="0" fontId="0" fillId="0" borderId="0" xfId="0" applyProtection="1">
      <protection locked="0"/>
    </xf>
    <xf numFmtId="0" fontId="0" fillId="3" borderId="0" xfId="0" applyFill="1" applyBorder="1" applyAlignment="1" applyProtection="1">
      <alignment horizontal="right"/>
      <protection locked="0"/>
    </xf>
    <xf numFmtId="0" fontId="0" fillId="3" borderId="0" xfId="1" applyFont="1" applyFill="1" applyBorder="1" applyAlignment="1" applyProtection="1">
      <alignment horizontal="right"/>
      <protection locked="0"/>
    </xf>
    <xf numFmtId="0" fontId="1" fillId="0" borderId="0" xfId="1" applyProtection="1">
      <protection locked="0"/>
    </xf>
    <xf numFmtId="0" fontId="4" fillId="5" borderId="0" xfId="1" applyFont="1" applyFill="1" applyAlignment="1" applyProtection="1">
      <alignment horizontal="right"/>
      <protection locked="0"/>
    </xf>
    <xf numFmtId="0" fontId="0" fillId="3" borderId="0" xfId="1" applyFont="1" applyFill="1" applyAlignment="1" applyProtection="1">
      <alignment horizontal="right"/>
      <protection locked="0"/>
    </xf>
    <xf numFmtId="0" fontId="4" fillId="2" borderId="0" xfId="1" applyFont="1" applyFill="1" applyAlignment="1" applyProtection="1">
      <alignment horizontal="right"/>
      <protection locked="0"/>
    </xf>
    <xf numFmtId="165" fontId="5" fillId="2" borderId="0" xfId="0" applyNumberFormat="1" applyFont="1" applyFill="1" applyAlignment="1" applyProtection="1">
      <alignment horizontal="center"/>
      <protection locked="0"/>
    </xf>
    <xf numFmtId="0" fontId="0" fillId="4" borderId="0" xfId="1" applyFont="1" applyFill="1" applyAlignment="1" applyProtection="1">
      <alignment horizontal="right"/>
      <protection locked="0"/>
    </xf>
    <xf numFmtId="165" fontId="1" fillId="4" borderId="0" xfId="1" applyNumberFormat="1" applyFill="1" applyAlignment="1" applyProtection="1">
      <alignment horizontal="center"/>
      <protection locked="0"/>
    </xf>
    <xf numFmtId="0" fontId="1" fillId="4" borderId="0" xfId="1" applyFont="1" applyFill="1" applyAlignment="1" applyProtection="1">
      <alignment horizontal="right"/>
      <protection locked="0"/>
    </xf>
    <xf numFmtId="165" fontId="0" fillId="4" borderId="0" xfId="0" applyNumberFormat="1" applyFill="1" applyAlignment="1" applyProtection="1">
      <alignment horizontal="center"/>
      <protection locked="0"/>
    </xf>
    <xf numFmtId="166" fontId="0" fillId="4" borderId="0" xfId="0" applyNumberFormat="1" applyFill="1" applyAlignment="1" applyProtection="1">
      <alignment horizontal="center"/>
      <protection locked="0"/>
    </xf>
    <xf numFmtId="165" fontId="4" fillId="2" borderId="0" xfId="0" applyNumberFormat="1" applyFont="1" applyFill="1" applyAlignment="1" applyProtection="1">
      <alignment horizontal="center"/>
      <protection locked="0"/>
    </xf>
    <xf numFmtId="164" fontId="0" fillId="4" borderId="0" xfId="0" applyNumberFormat="1" applyFill="1" applyAlignment="1" applyProtection="1">
      <alignment horizontal="center"/>
      <protection locked="0"/>
    </xf>
    <xf numFmtId="0" fontId="4" fillId="2" borderId="0" xfId="1" applyFont="1" applyFill="1" applyAlignment="1" applyProtection="1">
      <alignment vertical="center"/>
      <protection locked="0"/>
    </xf>
    <xf numFmtId="165" fontId="6" fillId="2" borderId="0" xfId="0" applyNumberFormat="1" applyFont="1" applyFill="1" applyAlignment="1" applyProtection="1">
      <alignment horizontal="center"/>
      <protection locked="0"/>
    </xf>
    <xf numFmtId="0" fontId="0" fillId="0" borderId="0" xfId="1" applyFont="1" applyAlignment="1" applyProtection="1">
      <alignment horizontal="center" vertical="center"/>
      <protection locked="0"/>
    </xf>
    <xf numFmtId="0" fontId="7" fillId="0" borderId="0" xfId="2" applyAlignment="1" applyProtection="1">
      <alignment horizontal="center" vertical="center"/>
      <protection locked="0"/>
    </xf>
    <xf numFmtId="0" fontId="1" fillId="0" borderId="0" xfId="1" applyAlignment="1" applyProtection="1">
      <alignment horizontal="right"/>
      <protection locked="0"/>
    </xf>
    <xf numFmtId="165" fontId="1" fillId="0" borderId="0" xfId="1" applyNumberFormat="1" applyAlignment="1" applyProtection="1">
      <alignment horizontal="right"/>
      <protection locked="0"/>
    </xf>
    <xf numFmtId="3" fontId="1" fillId="0" borderId="0" xfId="1" applyNumberFormat="1" applyAlignment="1" applyProtection="1">
      <alignment horizontal="left"/>
      <protection locked="0"/>
    </xf>
    <xf numFmtId="3" fontId="1" fillId="0" borderId="0" xfId="1" applyNumberFormat="1" applyAlignment="1" applyProtection="1">
      <alignment horizontal="right"/>
      <protection locked="0"/>
    </xf>
    <xf numFmtId="0" fontId="0" fillId="0" borderId="0" xfId="1" applyFont="1" applyBorder="1" applyAlignment="1" applyProtection="1">
      <alignment horizontal="center" vertical="center"/>
      <protection locked="0"/>
    </xf>
    <xf numFmtId="0" fontId="0" fillId="0" borderId="0" xfId="1" applyFont="1" applyAlignment="1" applyProtection="1">
      <alignment vertical="center"/>
      <protection locked="0"/>
    </xf>
    <xf numFmtId="0" fontId="0" fillId="0" borderId="0" xfId="0" applyAlignment="1"/>
    <xf numFmtId="0" fontId="2" fillId="0" borderId="0" xfId="1" applyFont="1" applyAlignment="1" applyProtection="1">
      <alignment vertical="center"/>
      <protection locked="0"/>
    </xf>
    <xf numFmtId="0" fontId="0" fillId="0" borderId="0" xfId="1" applyFont="1" applyBorder="1" applyAlignment="1" applyProtection="1">
      <alignment vertical="center"/>
      <protection locked="0"/>
    </xf>
    <xf numFmtId="0" fontId="0" fillId="0" borderId="0" xfId="1" applyFont="1" applyBorder="1" applyAlignment="1" applyProtection="1">
      <alignment horizontal="left" vertical="center"/>
      <protection locked="0"/>
    </xf>
    <xf numFmtId="0" fontId="0" fillId="0" borderId="0" xfId="0" applyAlignment="1" applyProtection="1">
      <alignment horizontal="left"/>
      <protection locked="0"/>
    </xf>
    <xf numFmtId="0" fontId="0" fillId="0" borderId="0" xfId="1" applyFont="1" applyAlignment="1" applyProtection="1">
      <alignment horizontal="left" vertical="center"/>
      <protection locked="0"/>
    </xf>
    <xf numFmtId="0" fontId="0" fillId="0" borderId="0" xfId="0" applyAlignment="1">
      <alignment horizontal="left"/>
    </xf>
    <xf numFmtId="0" fontId="7" fillId="0" borderId="0" xfId="2" applyAlignment="1" applyProtection="1">
      <alignment horizontal="left" vertical="center"/>
      <protection locked="0"/>
    </xf>
    <xf numFmtId="0" fontId="2" fillId="0" borderId="0" xfId="1" applyFont="1" applyAlignment="1" applyProtection="1">
      <alignment horizontal="left" vertical="center"/>
      <protection locked="0"/>
    </xf>
    <xf numFmtId="0" fontId="0" fillId="3" borderId="0" xfId="1" applyFont="1" applyFill="1" applyBorder="1" applyAlignment="1" applyProtection="1">
      <alignment horizontal="center"/>
      <protection locked="0"/>
    </xf>
    <xf numFmtId="9" fontId="0" fillId="3" borderId="0" xfId="0" applyNumberFormat="1" applyFill="1" applyBorder="1" applyAlignment="1" applyProtection="1">
      <alignment horizontal="center"/>
      <protection locked="0"/>
    </xf>
    <xf numFmtId="165" fontId="0" fillId="4" borderId="0" xfId="0" applyNumberFormat="1" applyFill="1"/>
    <xf numFmtId="165" fontId="0" fillId="4" borderId="0" xfId="0" applyNumberFormat="1" applyFill="1" applyAlignment="1">
      <alignment horizontal="center"/>
    </xf>
    <xf numFmtId="0" fontId="0" fillId="2" borderId="0" xfId="0" applyFill="1"/>
    <xf numFmtId="0" fontId="2" fillId="3" borderId="0" xfId="1" applyFont="1" applyFill="1" applyBorder="1" applyAlignment="1" applyProtection="1">
      <alignment horizontal="center"/>
      <protection locked="0"/>
    </xf>
    <xf numFmtId="165" fontId="1" fillId="4" borderId="0" xfId="1" applyNumberFormat="1" applyFill="1" applyAlignment="1" applyProtection="1">
      <alignment horizontal="left"/>
      <protection locked="0"/>
    </xf>
    <xf numFmtId="165" fontId="0" fillId="4" borderId="0" xfId="0" applyNumberFormat="1" applyFill="1" applyAlignment="1">
      <alignment horizontal="left"/>
    </xf>
    <xf numFmtId="165" fontId="0" fillId="4" borderId="0" xfId="0" applyNumberFormat="1" applyFill="1" applyAlignment="1" applyProtection="1">
      <alignment horizontal="right"/>
      <protection locked="0"/>
    </xf>
    <xf numFmtId="164" fontId="0" fillId="4" borderId="0" xfId="0" applyNumberFormat="1" applyFill="1" applyAlignment="1" applyProtection="1">
      <alignment horizontal="right"/>
      <protection locked="0"/>
    </xf>
    <xf numFmtId="166" fontId="0" fillId="4" borderId="0" xfId="0" applyNumberFormat="1" applyFill="1" applyAlignment="1" applyProtection="1">
      <alignment horizontal="left"/>
      <protection locked="0"/>
    </xf>
    <xf numFmtId="0" fontId="8" fillId="5" borderId="0" xfId="1" applyFont="1" applyFill="1" applyAlignment="1" applyProtection="1">
      <alignment horizontal="right"/>
      <protection locked="0"/>
    </xf>
    <xf numFmtId="0" fontId="8" fillId="5" borderId="0" xfId="0" applyFont="1" applyFill="1"/>
    <xf numFmtId="165" fontId="8" fillId="5" borderId="0" xfId="0" applyNumberFormat="1" applyFont="1" applyFill="1"/>
    <xf numFmtId="0" fontId="8" fillId="2" borderId="0" xfId="1" applyFont="1" applyFill="1" applyAlignment="1" applyProtection="1">
      <alignment horizontal="right"/>
      <protection locked="0"/>
    </xf>
    <xf numFmtId="0" fontId="8" fillId="2" borderId="0" xfId="0" applyFont="1" applyFill="1"/>
    <xf numFmtId="165" fontId="8" fillId="2" borderId="0" xfId="0" applyNumberFormat="1" applyFont="1" applyFill="1"/>
    <xf numFmtId="0" fontId="9" fillId="4" borderId="0" xfId="1" applyFont="1" applyFill="1" applyAlignment="1" applyProtection="1">
      <alignment horizontal="right"/>
      <protection locked="0"/>
    </xf>
    <xf numFmtId="165" fontId="4" fillId="2" borderId="0" xfId="0" applyNumberFormat="1" applyFont="1" applyFill="1" applyAlignment="1" applyProtection="1">
      <alignment horizontal="right"/>
      <protection locked="0"/>
    </xf>
    <xf numFmtId="9" fontId="0" fillId="3" borderId="0" xfId="0" applyNumberFormat="1" applyFill="1" applyAlignment="1">
      <alignment horizontal="right"/>
    </xf>
    <xf numFmtId="9" fontId="1" fillId="3" borderId="0" xfId="1" applyNumberFormat="1" applyFont="1" applyFill="1" applyAlignment="1" applyProtection="1">
      <alignment horizontal="right"/>
      <protection locked="0"/>
    </xf>
    <xf numFmtId="165" fontId="0" fillId="3" borderId="0" xfId="0" applyNumberFormat="1" applyFill="1" applyAlignment="1">
      <alignment horizontal="right"/>
    </xf>
  </cellXfs>
  <cellStyles count="15">
    <cellStyle name="Gevolgde hyperlink" xfId="3" builtinId="9" hidden="1"/>
    <cellStyle name="Gevolgde hyperlink" xfId="4" builtinId="9" hidden="1"/>
    <cellStyle name="Gevolgde hyperlink" xfId="5" builtinId="9" hidden="1"/>
    <cellStyle name="Gevolgde hyperlink" xfId="6" builtinId="9" hidden="1"/>
    <cellStyle name="Gevolgde hyperlink" xfId="7" builtinId="9" hidden="1"/>
    <cellStyle name="Gevolgde hyperlink" xfId="8" builtinId="9" hidden="1"/>
    <cellStyle name="Gevolgde hyperlink" xfId="9" builtinId="9" hidden="1"/>
    <cellStyle name="Gevolgde hyperlink" xfId="10" builtinId="9" hidden="1"/>
    <cellStyle name="Gevolgde hyperlink" xfId="11" builtinId="9" hidden="1"/>
    <cellStyle name="Gevolgde hyperlink" xfId="12" builtinId="9" hidden="1"/>
    <cellStyle name="Gevolgde hyperlink" xfId="13" builtinId="9" hidden="1"/>
    <cellStyle name="Gevolgde hyperlink" xfId="14" builtinId="9" hidden="1"/>
    <cellStyle name="Hyperlink" xfId="2" builtinId="8"/>
    <cellStyle name="Normal 6" xfId="1"/>
    <cellStyle name="Stand." xfId="0" builtinId="0"/>
  </cellStyles>
  <dxfs count="0"/>
  <tableStyles count="0" defaultTableStyle="TableStyleMedium2" defaultPivotStyle="PivotStyleLight16"/>
  <colors>
    <mruColors>
      <color rgb="FFA7FFA7"/>
      <color rgb="FFD3CDFF"/>
      <color rgb="FFC1C1FF"/>
      <color rgb="FFFFFFFF"/>
      <color rgb="FFA7BCFF"/>
      <color rgb="FF7D9C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theme" Target="theme/theme1.xml"/><Relationship Id="rId6" Type="http://schemas.openxmlformats.org/officeDocument/2006/relationships/styles" Target="styles.xml"/><Relationship Id="rId7" Type="http://schemas.openxmlformats.org/officeDocument/2006/relationships/sharedStrings" Target="sharedStrings.xml"/><Relationship Id="rId8"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vmlDrawing" Target="../drawings/vmlDrawing1.vml"/><Relationship Id="rId2"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vmlDrawing" Target="../drawings/vmlDrawing2.vml"/><Relationship Id="rId2"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enableFormatConditionsCalculation="0">
    <pageSetUpPr fitToPage="1"/>
  </sheetPr>
  <dimension ref="A1:AA58"/>
  <sheetViews>
    <sheetView tabSelected="1" workbookViewId="0">
      <selection sqref="A1:E40"/>
    </sheetView>
  </sheetViews>
  <sheetFormatPr baseColWidth="10" defaultColWidth="8.83203125" defaultRowHeight="15" x14ac:dyDescent="0.2"/>
  <cols>
    <col min="1" max="1" width="28.5" style="20" customWidth="1"/>
    <col min="2" max="2" width="18.1640625" style="36" customWidth="1"/>
    <col min="3" max="13" width="18.1640625" style="17" customWidth="1"/>
    <col min="14" max="22" width="19.5" style="17" customWidth="1"/>
    <col min="23" max="27" width="8.83203125" style="17"/>
    <col min="28" max="16384" width="8.83203125" style="20"/>
  </cols>
  <sheetData>
    <row r="1" spans="1:8" s="17" customFormat="1" x14ac:dyDescent="0.2">
      <c r="A1" s="15" t="s">
        <v>19</v>
      </c>
      <c r="B1" s="16"/>
      <c r="C1" s="16"/>
      <c r="D1" s="16"/>
      <c r="E1" s="16"/>
      <c r="F1" s="16"/>
      <c r="G1" s="16"/>
      <c r="H1" s="16"/>
    </row>
    <row r="2" spans="1:8" s="17" customFormat="1" x14ac:dyDescent="0.2">
      <c r="A2" s="18" t="s">
        <v>17</v>
      </c>
      <c r="B2" s="2" t="s">
        <v>50</v>
      </c>
      <c r="C2" s="2" t="s">
        <v>47</v>
      </c>
      <c r="D2" s="2" t="s">
        <v>54</v>
      </c>
      <c r="E2" s="2" t="s">
        <v>41</v>
      </c>
      <c r="F2" s="2" t="s">
        <v>45</v>
      </c>
      <c r="G2" s="2" t="s">
        <v>43</v>
      </c>
      <c r="H2" s="2" t="s">
        <v>43</v>
      </c>
    </row>
    <row r="3" spans="1:8" s="17" customFormat="1" x14ac:dyDescent="0.2">
      <c r="A3" s="18" t="s">
        <v>18</v>
      </c>
      <c r="B3" s="2" t="s">
        <v>49</v>
      </c>
      <c r="C3" s="2" t="s">
        <v>48</v>
      </c>
      <c r="D3" s="2" t="s">
        <v>55</v>
      </c>
      <c r="E3" s="2" t="s">
        <v>42</v>
      </c>
      <c r="F3" s="2" t="s">
        <v>46</v>
      </c>
      <c r="G3" s="2" t="s">
        <v>44</v>
      </c>
      <c r="H3" s="2" t="s">
        <v>44</v>
      </c>
    </row>
    <row r="4" spans="1:8" s="17" customFormat="1" x14ac:dyDescent="0.2">
      <c r="A4" s="18" t="s">
        <v>29</v>
      </c>
      <c r="B4" s="3">
        <v>475</v>
      </c>
      <c r="C4" s="3">
        <v>1500</v>
      </c>
      <c r="D4" s="3">
        <v>1730</v>
      </c>
      <c r="E4" s="3">
        <v>1800</v>
      </c>
      <c r="F4" s="3">
        <v>1150</v>
      </c>
      <c r="G4" s="3">
        <v>1500</v>
      </c>
      <c r="H4" s="3">
        <v>1500</v>
      </c>
    </row>
    <row r="5" spans="1:8" x14ac:dyDescent="0.2">
      <c r="A5" s="19" t="s">
        <v>58</v>
      </c>
      <c r="B5" s="4">
        <v>7690</v>
      </c>
      <c r="C5" s="4">
        <v>35578</v>
      </c>
      <c r="D5" s="4">
        <v>45500</v>
      </c>
      <c r="E5" s="4">
        <v>106130</v>
      </c>
      <c r="F5" s="4">
        <v>21663</v>
      </c>
      <c r="G5" s="4">
        <v>140309</v>
      </c>
      <c r="H5" s="4">
        <v>140309</v>
      </c>
    </row>
    <row r="6" spans="1:8" x14ac:dyDescent="0.2">
      <c r="A6" s="19" t="s">
        <v>59</v>
      </c>
      <c r="B6" s="5">
        <v>400</v>
      </c>
      <c r="C6" s="5">
        <v>1500</v>
      </c>
      <c r="D6" s="5">
        <v>1500</v>
      </c>
      <c r="E6" s="5">
        <v>2000</v>
      </c>
      <c r="F6" s="5">
        <v>1000</v>
      </c>
      <c r="G6" s="5">
        <v>2760</v>
      </c>
      <c r="H6" s="5">
        <v>2760</v>
      </c>
    </row>
    <row r="7" spans="1:8" x14ac:dyDescent="0.2">
      <c r="A7" s="19" t="s">
        <v>15</v>
      </c>
      <c r="B7" s="5">
        <v>0</v>
      </c>
      <c r="C7" s="5">
        <v>0</v>
      </c>
      <c r="D7" s="5">
        <v>0</v>
      </c>
      <c r="E7" s="5">
        <v>0</v>
      </c>
      <c r="F7" s="5">
        <v>0</v>
      </c>
      <c r="G7" s="5">
        <v>0</v>
      </c>
      <c r="H7" s="5">
        <v>0</v>
      </c>
    </row>
    <row r="8" spans="1:8" x14ac:dyDescent="0.2">
      <c r="A8" s="19" t="s">
        <v>16</v>
      </c>
      <c r="B8" s="6">
        <v>0.04</v>
      </c>
      <c r="C8" s="6">
        <v>0.04</v>
      </c>
      <c r="D8" s="6">
        <v>0.15</v>
      </c>
      <c r="E8" s="6">
        <v>0.04</v>
      </c>
      <c r="F8" s="6">
        <v>0.21</v>
      </c>
      <c r="G8" s="6">
        <v>0.25</v>
      </c>
      <c r="H8" s="6">
        <v>0.25</v>
      </c>
    </row>
    <row r="9" spans="1:8" x14ac:dyDescent="0.2">
      <c r="A9" s="19" t="s">
        <v>8</v>
      </c>
      <c r="B9" s="7" t="s">
        <v>7</v>
      </c>
      <c r="C9" s="51" t="s">
        <v>7</v>
      </c>
      <c r="D9" s="51" t="s">
        <v>6</v>
      </c>
      <c r="E9" s="7" t="s">
        <v>7</v>
      </c>
      <c r="F9" s="7" t="s">
        <v>3</v>
      </c>
      <c r="G9" s="7" t="s">
        <v>3</v>
      </c>
      <c r="H9" s="7" t="s">
        <v>3</v>
      </c>
    </row>
    <row r="10" spans="1:8" x14ac:dyDescent="0.2">
      <c r="A10" s="19" t="s">
        <v>27</v>
      </c>
      <c r="B10" s="3">
        <v>5</v>
      </c>
      <c r="C10" s="3">
        <v>20</v>
      </c>
      <c r="D10" s="3">
        <v>5</v>
      </c>
      <c r="E10" s="3">
        <v>24</v>
      </c>
      <c r="F10" s="3">
        <v>7</v>
      </c>
      <c r="G10" s="3">
        <v>14</v>
      </c>
      <c r="H10" s="3">
        <v>14</v>
      </c>
    </row>
    <row r="11" spans="1:8" x14ac:dyDescent="0.2">
      <c r="A11" s="19" t="s">
        <v>28</v>
      </c>
      <c r="B11" s="8">
        <v>0.2</v>
      </c>
      <c r="C11" s="8">
        <v>0.2</v>
      </c>
      <c r="D11" s="8">
        <v>1.88</v>
      </c>
      <c r="E11" s="8">
        <v>0.2</v>
      </c>
      <c r="F11" s="8">
        <v>1.88</v>
      </c>
      <c r="G11" s="8">
        <v>1.88</v>
      </c>
      <c r="H11" s="8">
        <v>1.88</v>
      </c>
    </row>
    <row r="12" spans="1:8" x14ac:dyDescent="0.2">
      <c r="A12" s="19" t="s">
        <v>64</v>
      </c>
      <c r="B12" s="52">
        <v>0.75</v>
      </c>
      <c r="C12" s="52">
        <v>0.75</v>
      </c>
      <c r="D12" s="52">
        <v>0.75</v>
      </c>
      <c r="E12" s="52">
        <v>0.75</v>
      </c>
      <c r="F12" s="52">
        <v>1.1000000000000001</v>
      </c>
      <c r="G12" s="52">
        <v>1</v>
      </c>
      <c r="H12" s="52">
        <v>1</v>
      </c>
    </row>
    <row r="13" spans="1:8" x14ac:dyDescent="0.2">
      <c r="A13" s="21" t="s">
        <v>21</v>
      </c>
      <c r="B13" s="9"/>
      <c r="C13" s="9"/>
      <c r="D13" s="9"/>
      <c r="E13" s="9"/>
      <c r="F13" s="9"/>
      <c r="G13" s="9"/>
      <c r="H13" s="9"/>
    </row>
    <row r="14" spans="1:8" x14ac:dyDescent="0.2">
      <c r="A14" s="22" t="s">
        <v>25</v>
      </c>
      <c r="B14" s="10">
        <v>60</v>
      </c>
      <c r="C14" s="10">
        <v>60</v>
      </c>
      <c r="D14" s="10">
        <v>60</v>
      </c>
      <c r="E14" s="10">
        <v>60</v>
      </c>
      <c r="F14" s="10">
        <v>60</v>
      </c>
      <c r="G14" s="10">
        <v>60</v>
      </c>
      <c r="H14" s="10">
        <v>60</v>
      </c>
    </row>
    <row r="15" spans="1:8" x14ac:dyDescent="0.2">
      <c r="A15" s="22" t="s">
        <v>22</v>
      </c>
      <c r="B15" s="11">
        <v>10000</v>
      </c>
      <c r="C15" s="11">
        <v>15000</v>
      </c>
      <c r="D15" s="11">
        <v>15000</v>
      </c>
      <c r="E15" s="11">
        <v>15000</v>
      </c>
      <c r="F15" s="11">
        <v>15000</v>
      </c>
      <c r="G15" s="11">
        <v>15000</v>
      </c>
      <c r="H15" s="11">
        <v>30000</v>
      </c>
    </row>
    <row r="16" spans="1:8" x14ac:dyDescent="0.2">
      <c r="A16" s="21" t="s">
        <v>20</v>
      </c>
      <c r="B16" s="12"/>
      <c r="C16" s="12"/>
      <c r="D16" s="12"/>
      <c r="E16" s="12"/>
      <c r="F16" s="12"/>
      <c r="G16" s="12"/>
      <c r="H16" s="12"/>
    </row>
    <row r="17" spans="1:8" x14ac:dyDescent="0.2">
      <c r="A17" s="22" t="s">
        <v>14</v>
      </c>
      <c r="B17" s="13" t="s">
        <v>11</v>
      </c>
      <c r="C17" s="13" t="s">
        <v>11</v>
      </c>
      <c r="D17" s="13" t="s">
        <v>11</v>
      </c>
      <c r="E17" s="13" t="s">
        <v>11</v>
      </c>
      <c r="F17" s="13" t="s">
        <v>11</v>
      </c>
      <c r="G17" s="13" t="s">
        <v>11</v>
      </c>
      <c r="H17" s="13" t="s">
        <v>9</v>
      </c>
    </row>
    <row r="18" spans="1:8" x14ac:dyDescent="0.2">
      <c r="A18" s="22" t="s">
        <v>57</v>
      </c>
      <c r="B18" s="14">
        <v>0.52</v>
      </c>
      <c r="C18" s="14">
        <v>0.52</v>
      </c>
      <c r="D18" s="14">
        <v>0.52</v>
      </c>
      <c r="E18" s="14">
        <v>0.52</v>
      </c>
      <c r="F18" s="14">
        <v>0.52</v>
      </c>
      <c r="G18" s="14">
        <v>0.52</v>
      </c>
      <c r="H18" s="14">
        <v>0.52</v>
      </c>
    </row>
    <row r="19" spans="1:8" x14ac:dyDescent="0.2">
      <c r="A19" s="23" t="s">
        <v>23</v>
      </c>
      <c r="B19" s="24"/>
      <c r="C19" s="24"/>
      <c r="D19" s="24"/>
      <c r="E19" s="24"/>
      <c r="F19" s="24"/>
      <c r="G19" s="24"/>
      <c r="H19" s="24"/>
    </row>
    <row r="20" spans="1:8" x14ac:dyDescent="0.2">
      <c r="A20" s="27" t="s">
        <v>0</v>
      </c>
      <c r="B20" s="26">
        <f t="shared" ref="B20:H20" si="0">(B$5+B$6)*0.21/1.21</f>
        <v>1404.0495867768595</v>
      </c>
      <c r="C20" s="26">
        <f t="shared" si="0"/>
        <v>6435.0247933884302</v>
      </c>
      <c r="D20" s="26">
        <f t="shared" si="0"/>
        <v>8157.0247933884302</v>
      </c>
      <c r="E20" s="26">
        <f t="shared" si="0"/>
        <v>18766.363636363636</v>
      </c>
      <c r="F20" s="26">
        <f t="shared" si="0"/>
        <v>3933.2479338842973</v>
      </c>
      <c r="G20" s="26">
        <f t="shared" si="0"/>
        <v>24830.157024793389</v>
      </c>
      <c r="H20" s="26">
        <f t="shared" si="0"/>
        <v>24830.157024793389</v>
      </c>
    </row>
    <row r="21" spans="1:8" x14ac:dyDescent="0.2">
      <c r="A21" s="25" t="s">
        <v>60</v>
      </c>
      <c r="B21" s="26">
        <f t="shared" ref="B21:H21" si="1">(B$5+B$6)/1.21</f>
        <v>6685.9504132231405</v>
      </c>
      <c r="C21" s="26">
        <f t="shared" si="1"/>
        <v>30642.975206611573</v>
      </c>
      <c r="D21" s="26">
        <f t="shared" si="1"/>
        <v>38842.975206611569</v>
      </c>
      <c r="E21" s="26">
        <f t="shared" si="1"/>
        <v>89363.636363636368</v>
      </c>
      <c r="F21" s="26">
        <f t="shared" si="1"/>
        <v>18729.752066115703</v>
      </c>
      <c r="G21" s="26">
        <f t="shared" si="1"/>
        <v>118238.84297520661</v>
      </c>
      <c r="H21" s="26">
        <f t="shared" si="1"/>
        <v>118238.84297520661</v>
      </c>
    </row>
    <row r="22" spans="1:8" x14ac:dyDescent="0.2">
      <c r="A22" s="25" t="s">
        <v>61</v>
      </c>
      <c r="B22" s="54">
        <f t="shared" ref="B22:H22" si="2">B12*(B5*0.85-(0.8%*B14*B5)-(B15*(B14/12)*(0.015+B5/2000000)))/1.21</f>
        <v>1179.5764462809918</v>
      </c>
      <c r="C22" s="54">
        <f t="shared" si="2"/>
        <v>6635.1353305785133</v>
      </c>
      <c r="D22" s="54">
        <f t="shared" si="2"/>
        <v>8680.0103305785124</v>
      </c>
      <c r="E22" s="54">
        <f t="shared" si="2"/>
        <v>21175.55268595041</v>
      </c>
      <c r="F22" s="54">
        <f t="shared" si="2"/>
        <v>5525.4068181818175</v>
      </c>
      <c r="G22" s="54">
        <f t="shared" si="2"/>
        <v>37626.233471074382</v>
      </c>
      <c r="H22" s="54">
        <f t="shared" si="2"/>
        <v>32348.061983471074</v>
      </c>
    </row>
    <row r="23" spans="1:8" x14ac:dyDescent="0.2">
      <c r="A23" s="25" t="s">
        <v>38</v>
      </c>
      <c r="B23" s="28">
        <f t="shared" ref="B23:H23" si="3">B$21-B$22</f>
        <v>5506.3739669421484</v>
      </c>
      <c r="C23" s="28">
        <f t="shared" si="3"/>
        <v>24007.83987603306</v>
      </c>
      <c r="D23" s="28">
        <f t="shared" si="3"/>
        <v>30162.964876033056</v>
      </c>
      <c r="E23" s="28">
        <f t="shared" si="3"/>
        <v>68188.083677685965</v>
      </c>
      <c r="F23" s="28">
        <f t="shared" si="3"/>
        <v>13204.345247933885</v>
      </c>
      <c r="G23" s="28">
        <f t="shared" si="3"/>
        <v>80612.609504132241</v>
      </c>
      <c r="H23" s="28">
        <f t="shared" si="3"/>
        <v>85890.780991735548</v>
      </c>
    </row>
    <row r="24" spans="1:8" x14ac:dyDescent="0.2">
      <c r="A24" s="25" t="s">
        <v>24</v>
      </c>
      <c r="B24" s="29">
        <f t="shared" ref="B24:H24" si="4">B$10/100*B$11/1.21</f>
        <v>8.2644628099173573E-3</v>
      </c>
      <c r="C24" s="29">
        <f t="shared" si="4"/>
        <v>3.3057851239669429E-2</v>
      </c>
      <c r="D24" s="29">
        <f t="shared" si="4"/>
        <v>7.768595041322314E-2</v>
      </c>
      <c r="E24" s="29">
        <f t="shared" si="4"/>
        <v>3.9669421487603308E-2</v>
      </c>
      <c r="F24" s="29">
        <f t="shared" si="4"/>
        <v>0.10876033057851239</v>
      </c>
      <c r="G24" s="29">
        <f t="shared" si="4"/>
        <v>0.21752066115702479</v>
      </c>
      <c r="H24" s="29">
        <f t="shared" si="4"/>
        <v>0.21752066115702479</v>
      </c>
    </row>
    <row r="25" spans="1:8" x14ac:dyDescent="0.2">
      <c r="A25" s="23" t="s">
        <v>62</v>
      </c>
      <c r="B25" s="30">
        <f t="shared" ref="B25:H25" si="5">B$26+B$27+B$28+B$29+B$30+B$31</f>
        <v>155.76485893227976</v>
      </c>
      <c r="C25" s="30">
        <f t="shared" si="5"/>
        <v>592.85161797613932</v>
      </c>
      <c r="D25" s="30">
        <f t="shared" si="5"/>
        <v>815.4971503592061</v>
      </c>
      <c r="E25" s="30">
        <f t="shared" si="5"/>
        <v>1561.0715806203202</v>
      </c>
      <c r="F25" s="30">
        <f t="shared" si="5"/>
        <v>485.06728510985272</v>
      </c>
      <c r="G25" s="30">
        <f t="shared" si="5"/>
        <v>2108.3309660964342</v>
      </c>
      <c r="H25" s="30">
        <f t="shared" si="5"/>
        <v>2540.3047274667306</v>
      </c>
    </row>
    <row r="26" spans="1:8" x14ac:dyDescent="0.2">
      <c r="A26" s="25" t="s">
        <v>26</v>
      </c>
      <c r="B26" s="28">
        <f t="shared" ref="B26:H26" si="6">B$23/B$14</f>
        <v>91.772899449035805</v>
      </c>
      <c r="C26" s="28">
        <f t="shared" si="6"/>
        <v>400.13066460055103</v>
      </c>
      <c r="D26" s="28">
        <f t="shared" si="6"/>
        <v>502.71608126721759</v>
      </c>
      <c r="E26" s="28">
        <f t="shared" si="6"/>
        <v>1136.4680612947661</v>
      </c>
      <c r="F26" s="28">
        <f t="shared" si="6"/>
        <v>220.07242079889809</v>
      </c>
      <c r="G26" s="28">
        <f t="shared" si="6"/>
        <v>1343.5434917355374</v>
      </c>
      <c r="H26" s="28">
        <f t="shared" si="6"/>
        <v>1431.5130165289258</v>
      </c>
    </row>
    <row r="27" spans="1:8" x14ac:dyDescent="0.2">
      <c r="A27" s="25" t="s">
        <v>63</v>
      </c>
      <c r="B27" s="31">
        <f t="shared" ref="B27:H27" si="7">-PMT(5.5%/12,B$14,B$23)-B26</f>
        <v>13.405242672006082</v>
      </c>
      <c r="C27" s="31">
        <f t="shared" si="7"/>
        <v>58.446978265736902</v>
      </c>
      <c r="D27" s="31">
        <f t="shared" si="7"/>
        <v>73.431602411661459</v>
      </c>
      <c r="E27" s="31">
        <f t="shared" si="7"/>
        <v>166.00358321577119</v>
      </c>
      <c r="F27" s="31">
        <f t="shared" si="7"/>
        <v>32.145919154089228</v>
      </c>
      <c r="G27" s="31">
        <f t="shared" si="7"/>
        <v>196.25103549344703</v>
      </c>
      <c r="H27" s="31">
        <f t="shared" si="7"/>
        <v>209.10072025524664</v>
      </c>
    </row>
    <row r="28" spans="1:8" x14ac:dyDescent="0.2">
      <c r="A28" s="27" t="s">
        <v>1</v>
      </c>
      <c r="B28" s="28">
        <f t="shared" ref="B28:H28" si="8">(250+0.015*B$21)/12</f>
        <v>29.19077134986226</v>
      </c>
      <c r="C28" s="28">
        <f t="shared" si="8"/>
        <v>59.137052341597801</v>
      </c>
      <c r="D28" s="28">
        <f t="shared" si="8"/>
        <v>69.387052341597794</v>
      </c>
      <c r="E28" s="28">
        <f t="shared" si="8"/>
        <v>132.53787878787878</v>
      </c>
      <c r="F28" s="28">
        <f t="shared" si="8"/>
        <v>44.245523415977964</v>
      </c>
      <c r="G28" s="28">
        <f t="shared" si="8"/>
        <v>168.6318870523416</v>
      </c>
      <c r="H28" s="28">
        <f t="shared" si="8"/>
        <v>168.6318870523416</v>
      </c>
    </row>
    <row r="29" spans="1:8" x14ac:dyDescent="0.2">
      <c r="A29" s="25" t="s">
        <v>2</v>
      </c>
      <c r="B29" s="28">
        <v>0</v>
      </c>
      <c r="C29" s="28">
        <v>0</v>
      </c>
      <c r="D29" s="28">
        <f>IF(OR(D$9="Elektriciteit",D$9="PHEV"),(D$4*0.85-450)/12/2,IF(D$9="Benzine",(D$4*0.85-450)/12,IF(D$9="LPG",(D$4*1.341-318)/12,IF(D$9="LPG3/Aardgas",(D$4*1.35-743)/12,IF(D$9="Diesel",(D$4*1.33-397)/12)))))</f>
        <v>42.520833333333336</v>
      </c>
      <c r="E29" s="28">
        <v>0</v>
      </c>
      <c r="F29" s="28">
        <f>IF(OR(F$9="Elektriciteit",F$9="PHEV"),(F$4*0.85-450)/12,IF(F$9="Benzine",(F$4*0.85-450)/12,IF(F$9="LPG",(F$4*1.341-318)/12,IF(F$9="LPG3/Aardgas",(F$4*1.35-743)/12,IF(F$9="Diesel",(F$4*1.33-397)/12)))))</f>
        <v>43.958333333333336</v>
      </c>
      <c r="G29" s="28">
        <f>IF(OR(G$9="Elektriciteit",G$9="PHEV"),(G$4*0.85-450)/12,IF(G$9="Benzine",(G$4*0.85-450)/12,IF(G$9="LPG",(G$4*1.341-318)/12,IF(G$9="LPG3/Aardgas",(G$4*1.35-743)/12,IF(G$9="Diesel",(G$4*1.33-397)/12)))))</f>
        <v>68.75</v>
      </c>
      <c r="H29" s="28">
        <f>IF(OR(H$9="Elektriciteit",H$9="PHEV"),(H$4*0.85-450)/12,IF(H$9="Benzine",(H$4*0.85-450)/12,IF(H$9="LPG",(H$4*1.341-318)/12,IF(H$9="LPG3/Aardgas",(H$4*1.35-743)/12,IF(H$9="Diesel",(H$4*1.33-397)/12)))))</f>
        <v>68.75</v>
      </c>
    </row>
    <row r="30" spans="1:8" x14ac:dyDescent="0.2">
      <c r="A30" s="25" t="s">
        <v>31</v>
      </c>
      <c r="B30" s="28">
        <f t="shared" ref="B30:H30" si="9">(B15/12)*(0.015+B5/2000000)</f>
        <v>15.704166666666667</v>
      </c>
      <c r="C30" s="28">
        <f t="shared" si="9"/>
        <v>40.986249999999998</v>
      </c>
      <c r="D30" s="28">
        <f t="shared" si="9"/>
        <v>47.1875</v>
      </c>
      <c r="E30" s="28">
        <f t="shared" si="9"/>
        <v>85.081249999999997</v>
      </c>
      <c r="F30" s="28">
        <f t="shared" si="9"/>
        <v>32.289375</v>
      </c>
      <c r="G30" s="28">
        <f t="shared" si="9"/>
        <v>106.44312499999999</v>
      </c>
      <c r="H30" s="28">
        <f t="shared" si="9"/>
        <v>212.88624999999999</v>
      </c>
    </row>
    <row r="31" spans="1:8" x14ac:dyDescent="0.2">
      <c r="A31" s="25" t="s">
        <v>32</v>
      </c>
      <c r="B31" s="28">
        <f t="shared" ref="B31:H31" si="10">(B$15*B$24/12)/1.21</f>
        <v>5.6917787947089238</v>
      </c>
      <c r="C31" s="28">
        <f t="shared" si="10"/>
        <v>34.150672768253543</v>
      </c>
      <c r="D31" s="28">
        <f t="shared" si="10"/>
        <v>80.254081005395818</v>
      </c>
      <c r="E31" s="28">
        <f t="shared" si="10"/>
        <v>40.980807321904244</v>
      </c>
      <c r="F31" s="28">
        <f t="shared" si="10"/>
        <v>112.35571340755412</v>
      </c>
      <c r="G31" s="28">
        <f t="shared" si="10"/>
        <v>224.71142681510824</v>
      </c>
      <c r="H31" s="28">
        <f t="shared" si="10"/>
        <v>449.42285363021648</v>
      </c>
    </row>
    <row r="32" spans="1:8" x14ac:dyDescent="0.2">
      <c r="A32" s="23" t="s">
        <v>37</v>
      </c>
      <c r="B32" s="30">
        <f t="shared" ref="B32:H32" si="11">B$33+B$34+B$35+B$36+B$37+B$38+B$39</f>
        <v>-82.649621341169848</v>
      </c>
      <c r="C32" s="30">
        <f t="shared" si="11"/>
        <v>-314.91617165898998</v>
      </c>
      <c r="D32" s="30">
        <f t="shared" si="11"/>
        <v>-79.168518186787196</v>
      </c>
      <c r="E32" s="30">
        <f t="shared" si="11"/>
        <v>-687.32264175749685</v>
      </c>
      <c r="F32" s="30">
        <f t="shared" si="11"/>
        <v>-31.705648257123443</v>
      </c>
      <c r="G32" s="30">
        <f t="shared" si="11"/>
        <v>575.21578429652095</v>
      </c>
      <c r="H32" s="30">
        <f t="shared" si="11"/>
        <v>0</v>
      </c>
    </row>
    <row r="33" spans="1:9" x14ac:dyDescent="0.2">
      <c r="A33" s="25" t="s">
        <v>33</v>
      </c>
      <c r="B33" s="28">
        <f t="shared" ref="B33:E33" si="12">IF(OR(B$17="Particulier",B$9="Elektriciteit"),B$8*B$5*B$18/12,B$8*B$5*B$18/12)</f>
        <v>13.329333333333336</v>
      </c>
      <c r="C33" s="28">
        <f t="shared" si="12"/>
        <v>61.668533333333336</v>
      </c>
      <c r="D33" s="28">
        <f t="shared" si="12"/>
        <v>295.75</v>
      </c>
      <c r="E33" s="28">
        <f t="shared" si="12"/>
        <v>183.95866666666666</v>
      </c>
      <c r="F33" s="28">
        <f t="shared" ref="F33:G33" si="13">IF(OR(F$17="Particulier",F$9="Elektriciteit"),0,F$8*F$5*F$18/12)</f>
        <v>197.13329999999999</v>
      </c>
      <c r="G33" s="28">
        <f t="shared" si="13"/>
        <v>1520.0141666666668</v>
      </c>
      <c r="H33" s="28">
        <v>0</v>
      </c>
    </row>
    <row r="34" spans="1:9" x14ac:dyDescent="0.2">
      <c r="A34" s="25" t="s">
        <v>34</v>
      </c>
      <c r="B34" s="28">
        <f t="shared" ref="B34:H34" si="14">IF(B$17="Particulier",0,(1-B18)*0.027*B$5/12)</f>
        <v>8.3051999999999992</v>
      </c>
      <c r="C34" s="28">
        <f t="shared" si="14"/>
        <v>38.424239999999998</v>
      </c>
      <c r="D34" s="28">
        <f t="shared" si="14"/>
        <v>49.139999999999993</v>
      </c>
      <c r="E34" s="28">
        <f t="shared" si="14"/>
        <v>114.6204</v>
      </c>
      <c r="F34" s="28">
        <f t="shared" si="14"/>
        <v>23.396039999999999</v>
      </c>
      <c r="G34" s="28">
        <f t="shared" si="14"/>
        <v>151.53371999999999</v>
      </c>
      <c r="H34" s="28">
        <f t="shared" si="14"/>
        <v>0</v>
      </c>
    </row>
    <row r="35" spans="1:9" x14ac:dyDescent="0.2">
      <c r="A35" s="25" t="s">
        <v>39</v>
      </c>
      <c r="B35" s="28">
        <f t="shared" ref="B35:H35" si="15">IF(B$17="Particulier",0,-B$25*B$18)</f>
        <v>-80.997726644785487</v>
      </c>
      <c r="C35" s="28">
        <f t="shared" si="15"/>
        <v>-308.28284134759247</v>
      </c>
      <c r="D35" s="28">
        <f t="shared" si="15"/>
        <v>-424.05851818678718</v>
      </c>
      <c r="E35" s="28">
        <f t="shared" si="15"/>
        <v>-811.75722192256649</v>
      </c>
      <c r="F35" s="28">
        <f t="shared" si="15"/>
        <v>-252.23498825712343</v>
      </c>
      <c r="G35" s="28">
        <f t="shared" si="15"/>
        <v>-1096.3321023701458</v>
      </c>
      <c r="H35" s="28">
        <f t="shared" si="15"/>
        <v>0</v>
      </c>
    </row>
    <row r="36" spans="1:9" x14ac:dyDescent="0.2">
      <c r="A36" s="25" t="s">
        <v>35</v>
      </c>
      <c r="B36" s="28">
        <f t="shared" ref="B36:H36" si="16">IF(OR(B$17="Particulier",B$9="Benzine",B$9="Diesel",B$9="LPG",B$9="LPG3/aardgas",B$9="PHEV"),0,-0.36*MIN(B$21,50000)*(B14/60)*B$18/B$14)</f>
        <v>-20.860165289256198</v>
      </c>
      <c r="C36" s="28">
        <f t="shared" si="16"/>
        <v>-95.606082644628103</v>
      </c>
      <c r="D36" s="28">
        <f t="shared" si="16"/>
        <v>0</v>
      </c>
      <c r="E36" s="28">
        <f t="shared" si="16"/>
        <v>-156</v>
      </c>
      <c r="F36" s="28">
        <f t="shared" si="16"/>
        <v>0</v>
      </c>
      <c r="G36" s="28">
        <f t="shared" si="16"/>
        <v>0</v>
      </c>
      <c r="H36" s="28">
        <f t="shared" si="16"/>
        <v>0</v>
      </c>
    </row>
    <row r="37" spans="1:9" x14ac:dyDescent="0.2">
      <c r="A37" s="25" t="s">
        <v>94</v>
      </c>
      <c r="B37" s="28">
        <v>0</v>
      </c>
      <c r="C37" s="28">
        <v>0</v>
      </c>
      <c r="D37" s="28">
        <v>0</v>
      </c>
      <c r="E37" s="28">
        <v>0</v>
      </c>
      <c r="F37" s="28">
        <f t="shared" ref="F37:H37" si="17">-IF(OR(F$17="Particulier",F$9="Benzine",F$9="Diesel",F$9="LPG",F$9="LPG3/aardgas"),0,IF(F$14&lt;60,IF(F$23/1.21&lt;=2300,0,IF(F$23/1.21&lt;=55248,28%*(F$23/1.21),IF(F$23/1.21&lt;=102311,15470,15470-7.65%*(F$23/1.21-102311)))),IF(F$21&lt;=2300,0,IF(F$21&lt;=55248,28%*F$21,IF(F$21&lt;=102311,15470,15470-7.65%*(F$21-102311))))))*F$18/F$14</f>
        <v>0</v>
      </c>
      <c r="G37" s="28">
        <f t="shared" si="17"/>
        <v>0</v>
      </c>
      <c r="H37" s="28">
        <f t="shared" si="17"/>
        <v>0</v>
      </c>
    </row>
    <row r="38" spans="1:9" x14ac:dyDescent="0.2">
      <c r="A38" s="25" t="s">
        <v>100</v>
      </c>
      <c r="B38" s="28">
        <f t="shared" ref="B38:H38" si="18">((PMT(5.5%/12,B$14-12,-B$36*B$14-B$37*B$14)*(B$14-12))-B$37*B$14-B$36*B$14)/B$14</f>
        <v>-2.4262627404614894</v>
      </c>
      <c r="C38" s="28">
        <f t="shared" si="18"/>
        <v>-11.12002100010274</v>
      </c>
      <c r="D38" s="28">
        <f t="shared" si="18"/>
        <v>0</v>
      </c>
      <c r="E38" s="28">
        <f t="shared" si="18"/>
        <v>-18.144486501597051</v>
      </c>
      <c r="F38" s="28">
        <f t="shared" si="18"/>
        <v>0</v>
      </c>
      <c r="G38" s="28">
        <f t="shared" si="18"/>
        <v>0</v>
      </c>
      <c r="H38" s="28">
        <f t="shared" si="18"/>
        <v>0</v>
      </c>
    </row>
    <row r="39" spans="1:9" x14ac:dyDescent="0.2">
      <c r="A39" s="25" t="s">
        <v>95</v>
      </c>
      <c r="B39" s="28">
        <v>0</v>
      </c>
      <c r="C39" s="28">
        <v>0</v>
      </c>
      <c r="D39" s="28">
        <v>0</v>
      </c>
      <c r="E39" s="28">
        <v>0</v>
      </c>
      <c r="F39" s="28">
        <v>0</v>
      </c>
      <c r="G39" s="28">
        <v>0</v>
      </c>
      <c r="H39" s="28">
        <v>0</v>
      </c>
    </row>
    <row r="40" spans="1:9" ht="29" x14ac:dyDescent="0.35">
      <c r="A40" s="32" t="s">
        <v>36</v>
      </c>
      <c r="B40" s="33">
        <f t="shared" ref="B40:H40" si="19">B25+B32+IF(B$17="particulier",B$25*0.21)</f>
        <v>73.115237591109917</v>
      </c>
      <c r="C40" s="33">
        <f t="shared" si="19"/>
        <v>277.93544631714934</v>
      </c>
      <c r="D40" s="33">
        <f t="shared" si="19"/>
        <v>736.32863217241891</v>
      </c>
      <c r="E40" s="33">
        <f t="shared" si="19"/>
        <v>873.74893886282337</v>
      </c>
      <c r="F40" s="33">
        <f t="shared" si="19"/>
        <v>453.36163685272925</v>
      </c>
      <c r="G40" s="33">
        <f t="shared" si="19"/>
        <v>2683.5467503929549</v>
      </c>
      <c r="H40" s="33">
        <f t="shared" si="19"/>
        <v>3073.7687202347443</v>
      </c>
    </row>
    <row r="41" spans="1:9" ht="17.25" customHeight="1" x14ac:dyDescent="0.2">
      <c r="B41" s="44"/>
      <c r="I41"/>
    </row>
    <row r="42" spans="1:9" ht="17.25" customHeight="1" x14ac:dyDescent="0.2">
      <c r="B42" s="40"/>
      <c r="I42"/>
    </row>
    <row r="43" spans="1:9" ht="17.25" customHeight="1" x14ac:dyDescent="0.2">
      <c r="B43" s="41"/>
      <c r="I43"/>
    </row>
    <row r="44" spans="1:9" ht="17.25" customHeight="1" x14ac:dyDescent="0.2">
      <c r="B44" s="34"/>
      <c r="I44"/>
    </row>
    <row r="45" spans="1:9" ht="17.25" customHeight="1" x14ac:dyDescent="0.2">
      <c r="B45" s="42"/>
    </row>
    <row r="46" spans="1:9" ht="17.25" customHeight="1" x14ac:dyDescent="0.2">
      <c r="B46" s="35"/>
    </row>
    <row r="47" spans="1:9" ht="17.25" customHeight="1" x14ac:dyDescent="0.2">
      <c r="B47" s="43"/>
    </row>
    <row r="50" spans="1:27" ht="15.75" customHeight="1" x14ac:dyDescent="0.2"/>
    <row r="51" spans="1:27" ht="15.75" customHeight="1" x14ac:dyDescent="0.2"/>
    <row r="52" spans="1:27" ht="15.75" customHeight="1" x14ac:dyDescent="0.2">
      <c r="A52" s="45" t="s">
        <v>98</v>
      </c>
      <c r="B52" s="37"/>
    </row>
    <row r="53" spans="1:27" s="38" customFormat="1" ht="15.75" customHeight="1" x14ac:dyDescent="0.2">
      <c r="A53" s="46" t="s">
        <v>99</v>
      </c>
      <c r="B53" s="39"/>
      <c r="C53" s="17"/>
      <c r="D53" s="17"/>
      <c r="E53" s="17"/>
      <c r="F53" s="17"/>
      <c r="G53" s="17"/>
      <c r="H53" s="17"/>
      <c r="I53" s="17"/>
      <c r="J53" s="17"/>
      <c r="K53" s="17"/>
      <c r="L53" s="17"/>
      <c r="M53" s="17"/>
      <c r="N53" s="17"/>
      <c r="O53" s="17"/>
      <c r="P53" s="17"/>
      <c r="Q53" s="17"/>
      <c r="R53" s="17"/>
      <c r="S53" s="17"/>
      <c r="T53" s="17"/>
      <c r="U53" s="17"/>
      <c r="V53" s="17"/>
      <c r="W53" s="17"/>
      <c r="X53" s="17"/>
      <c r="Y53" s="17"/>
      <c r="Z53" s="17"/>
      <c r="AA53" s="17"/>
    </row>
    <row r="54" spans="1:27" ht="15.75" customHeight="1" x14ac:dyDescent="0.2">
      <c r="A54" s="47" t="s">
        <v>51</v>
      </c>
    </row>
    <row r="55" spans="1:27" ht="15.75" customHeight="1" x14ac:dyDescent="0.2">
      <c r="A55" s="46" t="s">
        <v>52</v>
      </c>
    </row>
    <row r="56" spans="1:27" ht="15.75" customHeight="1" x14ac:dyDescent="0.2">
      <c r="A56" s="48" t="s">
        <v>56</v>
      </c>
    </row>
    <row r="57" spans="1:27" ht="15.75" customHeight="1" x14ac:dyDescent="0.2">
      <c r="A57" s="49" t="s">
        <v>53</v>
      </c>
    </row>
    <row r="58" spans="1:27" x14ac:dyDescent="0.2">
      <c r="A58" s="50" t="s">
        <v>40</v>
      </c>
      <c r="B58" s="37"/>
    </row>
  </sheetData>
  <sheetProtection formatCells="0" formatColumns="0" formatRows="0" insertColumns="0" insertRows="0" insertHyperlinks="0"/>
  <dataConsolidate/>
  <phoneticPr fontId="11" type="noConversion"/>
  <dataValidations xWindow="254" yWindow="332" count="11">
    <dataValidation type="decimal" allowBlank="1" showInputMessage="1" showErrorMessage="1" promptTitle="Toelichting bij Energiekosten" prompt="Vul bij elektriciteit de prijs per kWh is en bij brandstof de prijs per liter._x000a__x000a_Voor particulieren zijn de marginale kosten (wat je extra betaalt voor een extra kWh) in 2012 circa €0,20 en voor grote bedrijven tussen de €0,05 en €0,11." sqref="B11">
      <formula1>0.05</formula1>
      <formula2>300</formula2>
    </dataValidation>
    <dataValidation type="decimal" allowBlank="1" showInputMessage="1" showErrorMessage="1" errorTitle="Foutmelding belastingpercentage" error="Het percentage dat u invult moet tussen 0 en 52 liggen!" promptTitle="Belastingpercentage" prompt="Vul het belastingpercentage in dat uw bedrijf betaalt. _x000a_Enkele vuistregels:_x000a_- Modale ZZP'er 42%_x000a_- Bovenmodale ZZP'er 52%_x000a_- Eigen BV 40% (VPB+Dividend)_x000a_- Grote onderneming 25%_x000a_  (winst groter dan 2 ton)" sqref="B18:H18">
      <formula1>0</formula1>
      <formula2>0.52</formula2>
    </dataValidation>
    <dataValidation type="whole" allowBlank="1" showInputMessage="1" showErrorMessage="1" errorTitle="Foutmelding consumentenprijs" error="Vul hier een geheel getal in tussen 1 en 50.000 (in euro's)." promptTitle="Afleverkosten etc." prompt="Vul hier in wat u betaald heeft aan afleverkosten, rijklaar maken en alle andere kosten die de dealer u in rekening bracht. Dit zijn investeringen die u in de auto heeft gedaan. Doe dit incl. BTW." sqref="B6:H6">
      <formula1>1</formula1>
      <formula2>50000</formula2>
    </dataValidation>
    <dataValidation type="list" allowBlank="1" showInputMessage="1" showErrorMessage="1" errorTitle="Waarschuwing keuze energiedrager" error="U hebt een energiedrager ingevuld waar dit model niet mee kan rekenen!" promptTitle="Toelichting keuze energiedrager" prompt="Hoe neemt u energie mee?_x000a_Tankt u benzine, diesel, LPG of elektriciteit?_x000a_Of hebt u een PHEV (plug-in hybrid electric vehicle) waarmee u zowel elektriciteit als brandstof tankt?_x000a_Dit is van belang voor energieprijs, MIA/KIA/VAMIL en inkomensbijtelling." sqref="B9:H9">
      <formula1>LijstEnergiedrager</formula1>
    </dataValidation>
    <dataValidation type="whole" allowBlank="1" showInputMessage="1" showErrorMessage="1" errorTitle="Foutmelding consumentenprijs" error="Vul hier een geheel getal in tussen 500 en 500000 (in euro's)." promptTitle="Consumentenprijs" prompt="Vul hier de consumentenprijs in. _x000a_Dus inclusief BTW en BPM,_x000a_maar exclusief afleverkosten en aankoopkorting." sqref="B5:H5">
      <formula1>500</formula1>
      <formula2>500000</formula2>
    </dataValidation>
    <dataValidation type="whole" allowBlank="1" showInputMessage="1" showErrorMessage="1" errorTitle="Foutmelding kilometrage" error="U moet een geheel getal invullen tussen 0 en 100.000 (kilometer per jaar)." promptTitle="Kilometers per jaar" prompt="Vul hier het aantal kilometer per jaar in dat u gemiddeld denkt te gaan rijden over de looptijd." sqref="B15:H15">
      <formula1>0</formula1>
      <formula2>100000</formula2>
    </dataValidation>
    <dataValidation type="whole" allowBlank="1" showInputMessage="1" showErrorMessage="1" errorTitle="Foutmelding looptijd" error="U moet een waarde tussen 12 en 120 invullen" promptTitle="Looptijd in maanden" prompt="Vul hier het aantal maanden in dat u de auto wilt gebruiken voor u hem van de hand doet. Let op: MIA en KIA zijn lager als u minder dan 60 maanden invult omdat dan de restwaarde wordt afgetrokken." sqref="B14:H14">
      <formula1>12</formula1>
      <formula2>120</formula2>
    </dataValidation>
    <dataValidation type="list" allowBlank="1" showInputMessage="1" showErrorMessage="1" errorTitle="Foutmelding bijtelling" error="Geldige bijtellingspercentages zijn 0, 7, 14,20 en 25 procent." promptTitle="Bijtellingspercentage" prompt="Vul hier het bijtellingspercentage van de auto in:_x000a_- 0% voor elektrische auto's en PHEV's_x000a_- 14% voor zeer zuinige auto's_x000a_- 20% voor meer dan gemiddeld zuinige auto's_x000a_- 25% voor de overige auto's" sqref="B8:H8">
      <formula1>lijstbijtelling</formula1>
    </dataValidation>
    <dataValidation type="list" allowBlank="1" showInputMessage="1" showErrorMessage="1" errorTitle="Foutmelding Ficaal Regime" error="U hebt een fiscaal regime ingevuld waar dit model niet mee kan rekenen!_x000a_Kies een ander regime." promptTitle="Toelichting Fiscaal Regime" prompt="Wie schaft de auto aan?_x000a_- Particulier_x000a_- Eigenaar eenmanszaak, VOF of Maatschap c.q. ZZP'er _x000a_- BV, NV, Stichting of Vereniging waarvan u directeurssalaris ontvangt _x000a_- Bedrijf waar u in loondienst bent_x000a_- Leasemaatschappij" sqref="B17:H17">
      <formula1>LijstFiscaalRegime</formula1>
    </dataValidation>
    <dataValidation type="whole" allowBlank="1" showInputMessage="1" showErrorMessage="1" errorTitle="Foutmelding consumentenprijs" error="Vul hier een geheel getal in tussen 1 en 50.000 (in euro's)." promptTitle="Aankoopkorting" prompt="Vaak kunt u aankoopkorting krijgen. Bijvoorbeeld omdat u geen inruilwagen hebt of omdat u vaker bij deze dealer koopt. Deze kortingen worden afgetrokken van uw investering." sqref="B7:H7">
      <formula1>0</formula1>
      <formula2>50000</formula2>
    </dataValidation>
    <dataValidation type="decimal" allowBlank="1" showInputMessage="1" showErrorMessage="1" promptTitle="Verbruik in liters of kWh" prompt="Bij benzine, diesel of LPG: het aantal liter per 100 km._x000a_Bij elektriciteit: het aantal kWh per 100 km. _x000a_Vuistregel:tussen 15 en 35kWh._x000a_Als u realistisch wilt zijn vermenigvuldigt u de waarde uit folder (obv de Europese norm) met 1,5 o.i.d." sqref="B10:H10">
      <formula1>0.01</formula1>
      <formula2>30</formula2>
    </dataValidation>
  </dataValidations>
  <pageMargins left="0.70000000000000007" right="0.70000000000000007" top="0.75000000000000011" bottom="0.75000000000000011" header="0.30000000000000004" footer="0.30000000000000004"/>
  <pageSetup paperSize="9" scale="79" orientation="landscape"/>
  <legacy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53"/>
  <sheetViews>
    <sheetView zoomScale="125" zoomScaleNormal="125" zoomScalePageLayoutView="125" workbookViewId="0">
      <pane xSplit="1" ySplit="5" topLeftCell="B19" activePane="bottomRight" state="frozen"/>
      <selection pane="topRight" activeCell="B1" sqref="B1"/>
      <selection pane="bottomLeft" activeCell="A6" sqref="A6"/>
      <selection pane="bottomRight" activeCell="F25" sqref="F25"/>
    </sheetView>
  </sheetViews>
  <sheetFormatPr baseColWidth="10" defaultColWidth="8.83203125" defaultRowHeight="15" x14ac:dyDescent="0.2"/>
  <cols>
    <col min="1" max="1" width="38.5" customWidth="1"/>
    <col min="2" max="2" width="10.5" bestFit="1" customWidth="1"/>
    <col min="3" max="11" width="13" customWidth="1"/>
  </cols>
  <sheetData>
    <row r="1" spans="1:11" x14ac:dyDescent="0.2">
      <c r="A1" s="15" t="s">
        <v>19</v>
      </c>
      <c r="B1" s="15"/>
      <c r="C1" s="16"/>
      <c r="D1" s="16"/>
      <c r="E1" s="16"/>
      <c r="F1" s="16"/>
      <c r="G1" s="16"/>
      <c r="H1" s="16"/>
      <c r="I1" s="16"/>
      <c r="J1" s="16"/>
      <c r="K1" s="16"/>
    </row>
    <row r="2" spans="1:11" x14ac:dyDescent="0.2">
      <c r="A2" s="18" t="s">
        <v>17</v>
      </c>
      <c r="B2" s="2" t="s">
        <v>71</v>
      </c>
      <c r="C2" s="2" t="s">
        <v>50</v>
      </c>
      <c r="D2" s="2" t="s">
        <v>47</v>
      </c>
      <c r="E2" s="2" t="s">
        <v>47</v>
      </c>
      <c r="F2" s="2" t="s">
        <v>54</v>
      </c>
      <c r="G2" s="2" t="s">
        <v>54</v>
      </c>
      <c r="H2" s="2" t="s">
        <v>41</v>
      </c>
      <c r="I2" s="2" t="s">
        <v>41</v>
      </c>
      <c r="J2" s="2" t="s">
        <v>45</v>
      </c>
      <c r="K2" s="2" t="s">
        <v>43</v>
      </c>
    </row>
    <row r="3" spans="1:11" x14ac:dyDescent="0.2">
      <c r="A3" s="18" t="s">
        <v>18</v>
      </c>
      <c r="B3" s="2" t="s">
        <v>72</v>
      </c>
      <c r="C3" s="2" t="s">
        <v>49</v>
      </c>
      <c r="D3" s="2" t="s">
        <v>48</v>
      </c>
      <c r="E3" s="2" t="s">
        <v>48</v>
      </c>
      <c r="F3" s="2" t="s">
        <v>55</v>
      </c>
      <c r="G3" s="2" t="s">
        <v>55</v>
      </c>
      <c r="H3" s="2" t="s">
        <v>42</v>
      </c>
      <c r="I3" s="2" t="s">
        <v>42</v>
      </c>
      <c r="J3" s="2" t="s">
        <v>46</v>
      </c>
      <c r="K3" s="2" t="s">
        <v>44</v>
      </c>
    </row>
    <row r="4" spans="1:11" x14ac:dyDescent="0.2">
      <c r="A4" s="18" t="s">
        <v>29</v>
      </c>
      <c r="B4" s="2" t="s">
        <v>73</v>
      </c>
      <c r="C4" s="3">
        <v>475</v>
      </c>
      <c r="D4" s="3">
        <v>1500</v>
      </c>
      <c r="E4" s="3">
        <v>1500</v>
      </c>
      <c r="F4" s="3">
        <v>1730</v>
      </c>
      <c r="G4" s="3">
        <v>1730</v>
      </c>
      <c r="H4" s="3">
        <v>1600</v>
      </c>
      <c r="I4" s="3">
        <v>1800</v>
      </c>
      <c r="J4" s="3">
        <v>1150</v>
      </c>
      <c r="K4" s="3">
        <v>1500</v>
      </c>
    </row>
    <row r="5" spans="1:11" x14ac:dyDescent="0.2">
      <c r="A5" s="19" t="s">
        <v>58</v>
      </c>
      <c r="B5" s="56" t="s">
        <v>74</v>
      </c>
      <c r="C5" s="4">
        <v>7690</v>
      </c>
      <c r="D5" s="4">
        <v>35578</v>
      </c>
      <c r="E5" s="4">
        <v>35578</v>
      </c>
      <c r="F5" s="4">
        <v>45500</v>
      </c>
      <c r="G5" s="4">
        <v>45500</v>
      </c>
      <c r="H5" s="4">
        <v>70000</v>
      </c>
      <c r="I5" s="4">
        <v>106000</v>
      </c>
      <c r="J5" s="4">
        <v>21663</v>
      </c>
      <c r="K5" s="4">
        <v>140309</v>
      </c>
    </row>
    <row r="6" spans="1:11" x14ac:dyDescent="0.2">
      <c r="A6" s="19" t="s">
        <v>59</v>
      </c>
      <c r="B6" s="19"/>
      <c r="C6" s="5">
        <v>400</v>
      </c>
      <c r="D6" s="5">
        <v>1500</v>
      </c>
      <c r="E6" s="5">
        <v>1500</v>
      </c>
      <c r="F6" s="5">
        <v>1500</v>
      </c>
      <c r="G6" s="5">
        <v>1500</v>
      </c>
      <c r="H6" s="5">
        <v>2000</v>
      </c>
      <c r="I6" s="5">
        <v>2000</v>
      </c>
      <c r="J6" s="5">
        <v>1000</v>
      </c>
      <c r="K6" s="5">
        <v>2760</v>
      </c>
    </row>
    <row r="7" spans="1:11" x14ac:dyDescent="0.2">
      <c r="A7" s="19" t="s">
        <v>15</v>
      </c>
      <c r="B7" s="19"/>
      <c r="C7" s="5">
        <v>0</v>
      </c>
      <c r="D7" s="5">
        <v>0</v>
      </c>
      <c r="E7" s="5">
        <v>0</v>
      </c>
      <c r="F7" s="5">
        <v>0</v>
      </c>
      <c r="G7" s="5">
        <v>0</v>
      </c>
      <c r="H7" s="5">
        <v>0</v>
      </c>
      <c r="I7" s="5">
        <v>0</v>
      </c>
      <c r="J7" s="5">
        <v>0</v>
      </c>
      <c r="K7" s="5">
        <v>0</v>
      </c>
    </row>
    <row r="8" spans="1:11" x14ac:dyDescent="0.2">
      <c r="A8" s="19" t="s">
        <v>16</v>
      </c>
      <c r="B8" s="19"/>
      <c r="C8" s="6">
        <v>0.04</v>
      </c>
      <c r="D8" s="6">
        <v>0.04</v>
      </c>
      <c r="E8" s="6">
        <v>0.04</v>
      </c>
      <c r="F8" s="6">
        <v>0.15</v>
      </c>
      <c r="G8" s="6">
        <v>0.15</v>
      </c>
      <c r="H8" s="6">
        <v>0.04</v>
      </c>
      <c r="I8" s="6">
        <v>0.04</v>
      </c>
      <c r="J8" s="6">
        <v>0.21</v>
      </c>
      <c r="K8" s="6">
        <v>0.25</v>
      </c>
    </row>
    <row r="9" spans="1:11" x14ac:dyDescent="0.2">
      <c r="A9" s="19" t="s">
        <v>8</v>
      </c>
      <c r="B9" s="19"/>
      <c r="C9" s="7" t="s">
        <v>7</v>
      </c>
      <c r="D9" s="7" t="s">
        <v>7</v>
      </c>
      <c r="E9" s="7" t="s">
        <v>7</v>
      </c>
      <c r="F9" s="51" t="s">
        <v>6</v>
      </c>
      <c r="G9" s="51" t="s">
        <v>6</v>
      </c>
      <c r="H9" s="7" t="s">
        <v>7</v>
      </c>
      <c r="I9" s="7" t="s">
        <v>7</v>
      </c>
      <c r="J9" s="7" t="s">
        <v>3</v>
      </c>
      <c r="K9" s="7" t="s">
        <v>3</v>
      </c>
    </row>
    <row r="10" spans="1:11" x14ac:dyDescent="0.2">
      <c r="A10" s="19" t="s">
        <v>27</v>
      </c>
      <c r="B10" s="19"/>
      <c r="C10" s="3">
        <v>5</v>
      </c>
      <c r="D10" s="3">
        <v>20</v>
      </c>
      <c r="E10" s="3">
        <v>20</v>
      </c>
      <c r="F10" s="3">
        <v>5</v>
      </c>
      <c r="G10" s="3">
        <v>5</v>
      </c>
      <c r="H10" s="3">
        <v>24</v>
      </c>
      <c r="I10" s="3">
        <v>24</v>
      </c>
      <c r="J10" s="3">
        <v>7</v>
      </c>
      <c r="K10" s="3">
        <v>14</v>
      </c>
    </row>
    <row r="11" spans="1:11" x14ac:dyDescent="0.2">
      <c r="A11" s="19" t="s">
        <v>28</v>
      </c>
      <c r="B11" s="19"/>
      <c r="C11" s="8">
        <v>0.2</v>
      </c>
      <c r="D11" s="8">
        <v>0.2</v>
      </c>
      <c r="E11" s="8">
        <v>0.2</v>
      </c>
      <c r="F11" s="8">
        <v>1.88</v>
      </c>
      <c r="G11" s="8">
        <v>1.88</v>
      </c>
      <c r="H11" s="8">
        <v>0.2</v>
      </c>
      <c r="I11" s="8">
        <v>0.2</v>
      </c>
      <c r="J11" s="8">
        <v>1.88</v>
      </c>
      <c r="K11" s="8">
        <v>1.88</v>
      </c>
    </row>
    <row r="12" spans="1:11" x14ac:dyDescent="0.2">
      <c r="A12" s="19" t="s">
        <v>64</v>
      </c>
      <c r="B12" s="19"/>
      <c r="C12" s="52">
        <v>0.75</v>
      </c>
      <c r="D12" s="52">
        <v>0.75</v>
      </c>
      <c r="E12" s="52">
        <v>0.75</v>
      </c>
      <c r="F12" s="52">
        <v>0.75</v>
      </c>
      <c r="G12" s="52">
        <v>0.75</v>
      </c>
      <c r="H12" s="52">
        <v>0.75</v>
      </c>
      <c r="I12" s="52">
        <v>0.75</v>
      </c>
      <c r="J12" s="52">
        <v>1.1000000000000001</v>
      </c>
      <c r="K12" s="52">
        <v>1</v>
      </c>
    </row>
    <row r="13" spans="1:11" x14ac:dyDescent="0.2">
      <c r="A13" s="21" t="s">
        <v>21</v>
      </c>
      <c r="B13" s="21"/>
      <c r="C13" s="9"/>
      <c r="D13" s="9"/>
      <c r="E13" s="9"/>
      <c r="F13" s="9"/>
      <c r="G13" s="9"/>
      <c r="H13" s="9"/>
      <c r="I13" s="9"/>
      <c r="J13" s="9"/>
      <c r="K13" s="9"/>
    </row>
    <row r="14" spans="1:11" x14ac:dyDescent="0.2">
      <c r="A14" s="22" t="s">
        <v>25</v>
      </c>
      <c r="B14" s="22"/>
      <c r="C14" s="10">
        <v>60</v>
      </c>
      <c r="D14" s="10">
        <v>60</v>
      </c>
      <c r="E14" s="10">
        <v>60</v>
      </c>
      <c r="F14" s="10">
        <v>60</v>
      </c>
      <c r="G14" s="10">
        <v>60</v>
      </c>
      <c r="H14" s="10">
        <v>60</v>
      </c>
      <c r="I14" s="10">
        <v>60</v>
      </c>
      <c r="J14" s="10">
        <v>60</v>
      </c>
      <c r="K14" s="10">
        <v>60</v>
      </c>
    </row>
    <row r="15" spans="1:11" x14ac:dyDescent="0.2">
      <c r="A15" s="22" t="s">
        <v>22</v>
      </c>
      <c r="B15" s="22"/>
      <c r="C15" s="11">
        <v>10000</v>
      </c>
      <c r="D15" s="11">
        <v>30000</v>
      </c>
      <c r="E15" s="11">
        <v>15000</v>
      </c>
      <c r="F15" s="11">
        <v>15000</v>
      </c>
      <c r="G15" s="11">
        <v>15000</v>
      </c>
      <c r="H15" s="11">
        <v>30000</v>
      </c>
      <c r="I15" s="11">
        <v>30000</v>
      </c>
      <c r="J15" s="11">
        <v>15000</v>
      </c>
      <c r="K15" s="11">
        <v>30000</v>
      </c>
    </row>
    <row r="16" spans="1:11" x14ac:dyDescent="0.2">
      <c r="A16" s="23" t="s">
        <v>23</v>
      </c>
      <c r="B16" s="23"/>
      <c r="C16" s="24"/>
      <c r="D16" s="24"/>
      <c r="E16" s="24"/>
      <c r="F16" s="24"/>
      <c r="G16" s="24"/>
      <c r="H16" s="24"/>
      <c r="I16" s="24"/>
      <c r="J16" s="24"/>
      <c r="K16" s="24"/>
    </row>
    <row r="17" spans="1:11" x14ac:dyDescent="0.2">
      <c r="A17" s="27" t="s">
        <v>0</v>
      </c>
      <c r="B17" s="27"/>
      <c r="C17" s="57">
        <f t="shared" ref="C17:K17" si="0">(C$5+C$6)*0.21</f>
        <v>1698.8999999999999</v>
      </c>
      <c r="D17" s="57">
        <f t="shared" si="0"/>
        <v>7786.38</v>
      </c>
      <c r="E17" s="57">
        <f t="shared" si="0"/>
        <v>7786.38</v>
      </c>
      <c r="F17" s="57">
        <f t="shared" si="0"/>
        <v>9870</v>
      </c>
      <c r="G17" s="57">
        <f t="shared" si="0"/>
        <v>9870</v>
      </c>
      <c r="H17" s="57">
        <f t="shared" si="0"/>
        <v>15120</v>
      </c>
      <c r="I17" s="57">
        <f t="shared" si="0"/>
        <v>22680</v>
      </c>
      <c r="J17" s="57">
        <f t="shared" si="0"/>
        <v>4759.2299999999996</v>
      </c>
      <c r="K17" s="57">
        <f t="shared" si="0"/>
        <v>30044.489999999998</v>
      </c>
    </row>
    <row r="18" spans="1:11" x14ac:dyDescent="0.2">
      <c r="A18" s="25" t="s">
        <v>60</v>
      </c>
      <c r="B18" s="25"/>
      <c r="C18" s="57">
        <f t="shared" ref="C18:K18" si="1">(C$5+C$6)/1.21</f>
        <v>6685.9504132231405</v>
      </c>
      <c r="D18" s="57">
        <f t="shared" si="1"/>
        <v>30642.975206611573</v>
      </c>
      <c r="E18" s="57">
        <f t="shared" si="1"/>
        <v>30642.975206611573</v>
      </c>
      <c r="F18" s="57">
        <f t="shared" si="1"/>
        <v>38842.975206611569</v>
      </c>
      <c r="G18" s="57">
        <f t="shared" si="1"/>
        <v>38842.975206611569</v>
      </c>
      <c r="H18" s="57">
        <f t="shared" si="1"/>
        <v>59504.132231404961</v>
      </c>
      <c r="I18" s="57">
        <f t="shared" si="1"/>
        <v>89256.198347107435</v>
      </c>
      <c r="J18" s="57">
        <f t="shared" si="1"/>
        <v>18729.752066115703</v>
      </c>
      <c r="K18" s="57">
        <f t="shared" si="1"/>
        <v>118238.84297520661</v>
      </c>
    </row>
    <row r="19" spans="1:11" x14ac:dyDescent="0.2">
      <c r="A19" s="25" t="s">
        <v>61</v>
      </c>
      <c r="B19" s="25"/>
      <c r="C19" s="58">
        <f t="shared" ref="C19:K19" si="2">C12*(C5*0.85-(0.8%*C14*C5)-(C15*(C14/12)*(0.015+C5/2000000)))/1.21</f>
        <v>1179.5764462809918</v>
      </c>
      <c r="D19" s="58">
        <f t="shared" si="2"/>
        <v>5110.8533057851255</v>
      </c>
      <c r="E19" s="58">
        <f t="shared" si="2"/>
        <v>6635.1353305785133</v>
      </c>
      <c r="F19" s="58">
        <f t="shared" si="2"/>
        <v>8680.0103305785124</v>
      </c>
      <c r="G19" s="58">
        <f t="shared" si="2"/>
        <v>8680.0103305785124</v>
      </c>
      <c r="H19" s="58">
        <f t="shared" si="2"/>
        <v>11404.958677685951</v>
      </c>
      <c r="I19" s="58">
        <f t="shared" si="2"/>
        <v>17987.603305785124</v>
      </c>
      <c r="J19" s="58">
        <f t="shared" si="2"/>
        <v>5525.4068181818175</v>
      </c>
      <c r="K19" s="58">
        <f t="shared" si="2"/>
        <v>32348.061983471074</v>
      </c>
    </row>
    <row r="20" spans="1:11" x14ac:dyDescent="0.2">
      <c r="A20" s="25" t="s">
        <v>38</v>
      </c>
      <c r="B20" s="25"/>
      <c r="C20" s="59">
        <f t="shared" ref="C20:K20" si="3">C$18-C$19</f>
        <v>5506.3739669421484</v>
      </c>
      <c r="D20" s="59">
        <f t="shared" si="3"/>
        <v>25532.121900826445</v>
      </c>
      <c r="E20" s="59">
        <f t="shared" si="3"/>
        <v>24007.83987603306</v>
      </c>
      <c r="F20" s="59">
        <f t="shared" si="3"/>
        <v>30162.964876033056</v>
      </c>
      <c r="G20" s="59">
        <f t="shared" si="3"/>
        <v>30162.964876033056</v>
      </c>
      <c r="H20" s="59">
        <f t="shared" si="3"/>
        <v>48099.173553719011</v>
      </c>
      <c r="I20" s="59">
        <f t="shared" si="3"/>
        <v>71268.595041322318</v>
      </c>
      <c r="J20" s="59">
        <f t="shared" si="3"/>
        <v>13204.345247933885</v>
      </c>
      <c r="K20" s="59">
        <f t="shared" si="3"/>
        <v>85890.780991735548</v>
      </c>
    </row>
    <row r="21" spans="1:11" x14ac:dyDescent="0.2">
      <c r="A21" s="25" t="s">
        <v>63</v>
      </c>
      <c r="B21" s="25"/>
      <c r="C21" s="60">
        <f t="shared" ref="C21:K21" si="4">-PMT(5.5%/12,C$14,C$20)*C14-C20</f>
        <v>804.31456032036476</v>
      </c>
      <c r="D21" s="60">
        <f t="shared" si="4"/>
        <v>3729.4701602174937</v>
      </c>
      <c r="E21" s="60">
        <f t="shared" si="4"/>
        <v>3506.8186959442173</v>
      </c>
      <c r="F21" s="60">
        <f t="shared" si="4"/>
        <v>4405.8961446996873</v>
      </c>
      <c r="G21" s="60">
        <f t="shared" si="4"/>
        <v>4405.8961446996873</v>
      </c>
      <c r="H21" s="60">
        <f t="shared" si="4"/>
        <v>7025.8333089781663</v>
      </c>
      <c r="I21" s="60">
        <f t="shared" si="4"/>
        <v>10410.184457040072</v>
      </c>
      <c r="J21" s="60">
        <f t="shared" si="4"/>
        <v>1928.7551492453549</v>
      </c>
      <c r="K21" s="60">
        <f t="shared" si="4"/>
        <v>12546.043215314799</v>
      </c>
    </row>
    <row r="22" spans="1:11" x14ac:dyDescent="0.2">
      <c r="A22" s="25" t="s">
        <v>24</v>
      </c>
      <c r="B22" s="25"/>
      <c r="C22" s="61">
        <f t="shared" ref="C22:K22" si="5">C$10/100*C$11/1.21</f>
        <v>8.2644628099173573E-3</v>
      </c>
      <c r="D22" s="61">
        <f t="shared" si="5"/>
        <v>3.3057851239669429E-2</v>
      </c>
      <c r="E22" s="61">
        <f t="shared" si="5"/>
        <v>3.3057851239669429E-2</v>
      </c>
      <c r="F22" s="61">
        <f t="shared" si="5"/>
        <v>7.768595041322314E-2</v>
      </c>
      <c r="G22" s="61">
        <f t="shared" si="5"/>
        <v>7.768595041322314E-2</v>
      </c>
      <c r="H22" s="61">
        <f t="shared" si="5"/>
        <v>3.9669421487603308E-2</v>
      </c>
      <c r="I22" s="61">
        <f t="shared" si="5"/>
        <v>3.9669421487603308E-2</v>
      </c>
      <c r="J22" s="61">
        <f t="shared" si="5"/>
        <v>0.10876033057851239</v>
      </c>
      <c r="K22" s="61">
        <f t="shared" si="5"/>
        <v>0.21752066115702479</v>
      </c>
    </row>
    <row r="23" spans="1:11" x14ac:dyDescent="0.2">
      <c r="A23" s="25" t="s">
        <v>32</v>
      </c>
      <c r="B23" s="25"/>
      <c r="C23" s="59">
        <f t="shared" ref="C23:K23" si="6">C14*(C$15*C$22/12)/1.21</f>
        <v>341.50672768253543</v>
      </c>
      <c r="D23" s="59">
        <f t="shared" si="6"/>
        <v>4098.0807321904249</v>
      </c>
      <c r="E23" s="59">
        <f t="shared" si="6"/>
        <v>2049.0403660952124</v>
      </c>
      <c r="F23" s="59">
        <f t="shared" si="6"/>
        <v>4815.244860323749</v>
      </c>
      <c r="G23" s="59">
        <f t="shared" si="6"/>
        <v>4815.244860323749</v>
      </c>
      <c r="H23" s="59">
        <f t="shared" si="6"/>
        <v>4917.6968786285097</v>
      </c>
      <c r="I23" s="59">
        <f t="shared" si="6"/>
        <v>4917.6968786285097</v>
      </c>
      <c r="J23" s="59">
        <f t="shared" si="6"/>
        <v>6741.3428044532475</v>
      </c>
      <c r="K23" s="59">
        <f t="shared" si="6"/>
        <v>26965.37121781299</v>
      </c>
    </row>
    <row r="24" spans="1:11" x14ac:dyDescent="0.2">
      <c r="A24" s="27" t="s">
        <v>1</v>
      </c>
      <c r="B24" s="27"/>
      <c r="C24" s="59">
        <f t="shared" ref="C24:K24" si="7">C14*(250+0.015*C$18)/12</f>
        <v>1751.4462809917356</v>
      </c>
      <c r="D24" s="59">
        <f t="shared" si="7"/>
        <v>3548.2231404958679</v>
      </c>
      <c r="E24" s="59">
        <f t="shared" si="7"/>
        <v>3548.2231404958679</v>
      </c>
      <c r="F24" s="59">
        <f t="shared" si="7"/>
        <v>4163.2231404958675</v>
      </c>
      <c r="G24" s="59">
        <f t="shared" si="7"/>
        <v>4163.2231404958675</v>
      </c>
      <c r="H24" s="59">
        <f t="shared" si="7"/>
        <v>5712.8099173553719</v>
      </c>
      <c r="I24" s="59">
        <f t="shared" si="7"/>
        <v>7944.2148760330574</v>
      </c>
      <c r="J24" s="59">
        <f t="shared" si="7"/>
        <v>2654.7314049586776</v>
      </c>
      <c r="K24" s="59">
        <f t="shared" si="7"/>
        <v>10117.913223140496</v>
      </c>
    </row>
    <row r="25" spans="1:11" x14ac:dyDescent="0.2">
      <c r="A25" s="25" t="s">
        <v>2</v>
      </c>
      <c r="B25" s="25"/>
      <c r="C25" s="59">
        <v>0</v>
      </c>
      <c r="D25" s="59">
        <v>0</v>
      </c>
      <c r="E25" s="59">
        <v>0</v>
      </c>
      <c r="F25" s="59">
        <f>IF(OR(F$9="Elektriciteit",F$9="PHEV"),(F$4*0.85-450)/12/2,IF(F$9="Benzine",(F$4*0.85-450)/12,IF(F$9="LPG",(F$4*1.341-318)/12,IF(F$9="LPG3/Aardgas",(F$4*1.35-743)/12,IF(F$9="Diesel",(F$4*1.33-397)/12)))))*F14</f>
        <v>2551.25</v>
      </c>
      <c r="G25" s="59">
        <f>IF(OR(G$9="Elektriciteit",G$9="PHEV"),(G$4*0.85-450)/12/2,IF(G$9="Benzine",(G$4*0.85-450)/12,IF(G$9="LPG",(G$4*1.341-318)/12,IF(G$9="LPG3/Aardgas",(G$4*1.35-743)/12,IF(G$9="Diesel",(G$4*1.33-397)/12)))))*G14</f>
        <v>2551.25</v>
      </c>
      <c r="H25" s="59">
        <v>0</v>
      </c>
      <c r="I25" s="59">
        <v>0</v>
      </c>
      <c r="J25" s="59">
        <f>IF(OR(J$9="Elektriciteit",J$9="PHEV"),(J$4*0.85-450)/12,IF(J$9="Benzine",(J$4*0.85-450)/12,IF(J$9="LPG",(J$4*1.341-318)/12,IF(J$9="LPG3/Aardgas",(J$4*1.35-743)/12,IF(J$9="Diesel",(J$4*1.33-397)/12)))))*J14</f>
        <v>2637.5</v>
      </c>
      <c r="K25" s="59">
        <f>IF(OR(K$9="Elektriciteit",K$9="PHEV"),(K$4*0.85-450)/12,IF(K$9="Benzine",(K$4*0.85-450)/12,IF(K$9="LPG",(K$4*1.341-318)/12,IF(K$9="LPG3/Aardgas",(K$4*1.35-743)/12,IF(K$9="Diesel",(K$4*1.33-397)/12)))))*K14</f>
        <v>4125</v>
      </c>
    </row>
    <row r="26" spans="1:11" x14ac:dyDescent="0.2">
      <c r="A26" s="25" t="s">
        <v>31</v>
      </c>
      <c r="B26" s="25"/>
      <c r="C26" s="59">
        <f t="shared" ref="C26:K26" si="8">(C15/12)*(0.015+C5/2000000)*C14</f>
        <v>942.25</v>
      </c>
      <c r="D26" s="59">
        <f t="shared" si="8"/>
        <v>4918.3499999999995</v>
      </c>
      <c r="E26" s="59">
        <f t="shared" si="8"/>
        <v>2459.1749999999997</v>
      </c>
      <c r="F26" s="59">
        <f t="shared" si="8"/>
        <v>2831.25</v>
      </c>
      <c r="G26" s="59">
        <f t="shared" si="8"/>
        <v>2831.25</v>
      </c>
      <c r="H26" s="59">
        <f t="shared" si="8"/>
        <v>7500</v>
      </c>
      <c r="I26" s="59">
        <f t="shared" si="8"/>
        <v>10200</v>
      </c>
      <c r="J26" s="59">
        <f t="shared" si="8"/>
        <v>1937.3625</v>
      </c>
      <c r="K26" s="59">
        <f t="shared" si="8"/>
        <v>12773.174999999999</v>
      </c>
    </row>
    <row r="27" spans="1:11" x14ac:dyDescent="0.2">
      <c r="A27" s="23" t="s">
        <v>75</v>
      </c>
      <c r="B27" s="23"/>
      <c r="C27" s="69">
        <f t="shared" ref="C27:K27" si="9">C20+C$21+C$24+C$25+C$26+C$23</f>
        <v>9345.8915359367857</v>
      </c>
      <c r="D27" s="69">
        <f t="shared" si="9"/>
        <v>41826.245933730228</v>
      </c>
      <c r="E27" s="69">
        <f t="shared" si="9"/>
        <v>35571.09707856836</v>
      </c>
      <c r="F27" s="69">
        <f t="shared" si="9"/>
        <v>48929.829021552359</v>
      </c>
      <c r="G27" s="69">
        <f t="shared" si="9"/>
        <v>48929.829021552359</v>
      </c>
      <c r="H27" s="69">
        <f t="shared" si="9"/>
        <v>73255.51365868107</v>
      </c>
      <c r="I27" s="69">
        <f t="shared" si="9"/>
        <v>104740.69125302396</v>
      </c>
      <c r="J27" s="69">
        <f t="shared" si="9"/>
        <v>29104.037106591164</v>
      </c>
      <c r="K27" s="69">
        <f t="shared" si="9"/>
        <v>152418.28364800382</v>
      </c>
    </row>
    <row r="28" spans="1:11" x14ac:dyDescent="0.2">
      <c r="A28" s="21" t="s">
        <v>67</v>
      </c>
      <c r="B28" s="21"/>
      <c r="C28" s="12"/>
      <c r="D28" s="12"/>
      <c r="E28" s="12"/>
      <c r="F28" s="12"/>
      <c r="G28" s="12"/>
      <c r="H28" s="12"/>
      <c r="I28" s="12"/>
      <c r="J28" s="12"/>
      <c r="K28" s="12"/>
    </row>
    <row r="29" spans="1:11" x14ac:dyDescent="0.2">
      <c r="A29" s="22" t="s">
        <v>70</v>
      </c>
      <c r="B29" s="72">
        <v>250000</v>
      </c>
      <c r="C29" s="72">
        <v>250000</v>
      </c>
      <c r="D29" s="72">
        <v>250000</v>
      </c>
      <c r="E29" s="72">
        <v>250000</v>
      </c>
      <c r="F29" s="72">
        <v>250000</v>
      </c>
      <c r="G29" s="72">
        <v>250000</v>
      </c>
      <c r="H29" s="72">
        <v>250000</v>
      </c>
      <c r="I29" s="72">
        <v>250000</v>
      </c>
      <c r="J29" s="72">
        <v>250000</v>
      </c>
      <c r="K29" s="72">
        <v>250000</v>
      </c>
    </row>
    <row r="30" spans="1:11" x14ac:dyDescent="0.2">
      <c r="A30" s="22" t="s">
        <v>68</v>
      </c>
      <c r="B30" s="70">
        <v>0.7</v>
      </c>
      <c r="C30" s="70">
        <v>0.7</v>
      </c>
      <c r="D30" s="70">
        <v>0.7</v>
      </c>
      <c r="E30" s="70">
        <v>0.7</v>
      </c>
      <c r="F30" s="70">
        <v>0.7</v>
      </c>
      <c r="G30" s="70">
        <v>0.7</v>
      </c>
      <c r="H30" s="70">
        <v>0.7</v>
      </c>
      <c r="I30" s="70">
        <v>0.7</v>
      </c>
      <c r="J30" s="70">
        <v>0.7</v>
      </c>
      <c r="K30" s="70">
        <v>0.7</v>
      </c>
    </row>
    <row r="31" spans="1:11" x14ac:dyDescent="0.2">
      <c r="A31" s="22" t="s">
        <v>93</v>
      </c>
      <c r="B31" s="70">
        <v>0.5</v>
      </c>
      <c r="C31" s="70">
        <v>0.5</v>
      </c>
      <c r="D31" s="70">
        <v>0.5</v>
      </c>
      <c r="E31" s="70">
        <v>0.5</v>
      </c>
      <c r="F31" s="70">
        <v>0.5</v>
      </c>
      <c r="G31" s="70">
        <v>0.5</v>
      </c>
      <c r="H31" s="70">
        <v>0.5</v>
      </c>
      <c r="I31" s="70">
        <v>0.5</v>
      </c>
      <c r="J31" s="70">
        <v>0.5</v>
      </c>
      <c r="K31" s="70">
        <v>0.5</v>
      </c>
    </row>
    <row r="32" spans="1:11" x14ac:dyDescent="0.2">
      <c r="A32" s="22" t="s">
        <v>66</v>
      </c>
      <c r="B32" s="70">
        <v>0.2</v>
      </c>
      <c r="C32" s="70">
        <v>0.2</v>
      </c>
      <c r="D32" s="70">
        <v>0.2</v>
      </c>
      <c r="E32" s="70">
        <v>0.2</v>
      </c>
      <c r="F32" s="70">
        <v>0.2</v>
      </c>
      <c r="G32" s="70">
        <v>0.2</v>
      </c>
      <c r="H32" s="70">
        <v>0.2</v>
      </c>
      <c r="I32" s="70">
        <v>0.2</v>
      </c>
      <c r="J32" s="70">
        <v>0.2</v>
      </c>
      <c r="K32" s="70">
        <v>0.2</v>
      </c>
    </row>
    <row r="33" spans="1:11" x14ac:dyDescent="0.2">
      <c r="A33" s="22" t="s">
        <v>65</v>
      </c>
      <c r="B33" s="71">
        <v>0.52</v>
      </c>
      <c r="C33" s="71">
        <v>0.52</v>
      </c>
      <c r="D33" s="71">
        <v>0.52</v>
      </c>
      <c r="E33" s="71">
        <v>0.52</v>
      </c>
      <c r="F33" s="71">
        <v>0.52</v>
      </c>
      <c r="G33" s="71">
        <v>0.52</v>
      </c>
      <c r="H33" s="71">
        <v>0.52</v>
      </c>
      <c r="I33" s="71">
        <v>0.52</v>
      </c>
      <c r="J33" s="71">
        <v>0.52</v>
      </c>
      <c r="K33" s="71">
        <v>0.52</v>
      </c>
    </row>
    <row r="34" spans="1:11" x14ac:dyDescent="0.2">
      <c r="A34" s="65" t="s">
        <v>81</v>
      </c>
      <c r="B34" s="55"/>
      <c r="C34" s="55"/>
      <c r="D34" s="55"/>
      <c r="E34" s="55"/>
      <c r="F34" s="55"/>
      <c r="G34" s="55"/>
      <c r="H34" s="55"/>
      <c r="I34" s="55"/>
      <c r="J34" s="55"/>
      <c r="K34" s="55"/>
    </row>
    <row r="35" spans="1:11" x14ac:dyDescent="0.2">
      <c r="A35" s="68" t="s">
        <v>79</v>
      </c>
      <c r="B35" s="53">
        <f t="shared" ref="B35:K35" si="10">B27</f>
        <v>0</v>
      </c>
      <c r="C35" s="53">
        <f t="shared" si="10"/>
        <v>9345.8915359367857</v>
      </c>
      <c r="D35" s="53">
        <f t="shared" si="10"/>
        <v>41826.245933730228</v>
      </c>
      <c r="E35" s="53">
        <f t="shared" si="10"/>
        <v>35571.09707856836</v>
      </c>
      <c r="F35" s="53">
        <f t="shared" si="10"/>
        <v>48929.829021552359</v>
      </c>
      <c r="G35" s="53">
        <f t="shared" si="10"/>
        <v>48929.829021552359</v>
      </c>
      <c r="H35" s="53">
        <f t="shared" si="10"/>
        <v>73255.51365868107</v>
      </c>
      <c r="I35" s="53">
        <f t="shared" si="10"/>
        <v>104740.69125302396</v>
      </c>
      <c r="J35" s="53">
        <f t="shared" si="10"/>
        <v>29104.037106591164</v>
      </c>
      <c r="K35" s="53">
        <f t="shared" si="10"/>
        <v>152418.28364800382</v>
      </c>
    </row>
    <row r="36" spans="1:11" x14ac:dyDescent="0.2">
      <c r="A36" s="68" t="s">
        <v>97</v>
      </c>
      <c r="B36" s="53">
        <f>0.027*B18</f>
        <v>0</v>
      </c>
      <c r="C36" s="53">
        <f t="shared" ref="C36:K36" si="11">0.027*C18</f>
        <v>180.52066115702479</v>
      </c>
      <c r="D36" s="53">
        <f t="shared" si="11"/>
        <v>827.3603305785125</v>
      </c>
      <c r="E36" s="53">
        <f t="shared" si="11"/>
        <v>827.3603305785125</v>
      </c>
      <c r="F36" s="53">
        <f t="shared" si="11"/>
        <v>1048.7603305785124</v>
      </c>
      <c r="G36" s="53">
        <f t="shared" si="11"/>
        <v>1048.7603305785124</v>
      </c>
      <c r="H36" s="53">
        <f t="shared" si="11"/>
        <v>1606.611570247934</v>
      </c>
      <c r="I36" s="53">
        <f t="shared" si="11"/>
        <v>2409.9173553719006</v>
      </c>
      <c r="J36" s="53">
        <f t="shared" si="11"/>
        <v>505.70330578512397</v>
      </c>
      <c r="K36" s="53">
        <f t="shared" si="11"/>
        <v>3192.4487603305784</v>
      </c>
    </row>
    <row r="37" spans="1:11" x14ac:dyDescent="0.2">
      <c r="A37" s="25" t="s">
        <v>80</v>
      </c>
      <c r="B37" s="53">
        <f>0.36*MIN(B18,50000)*(B14/60)</f>
        <v>0</v>
      </c>
      <c r="C37" s="53">
        <f>0.36*MIN(C18,50000)*(C14/60)</f>
        <v>2406.9421487603304</v>
      </c>
      <c r="D37" s="53">
        <f>0.36*MIN(D18,50000)*(D14/60)</f>
        <v>11031.471074380166</v>
      </c>
      <c r="E37" s="53">
        <f>0.36*MIN(E18,50000)*(E14/60)</f>
        <v>11031.471074380166</v>
      </c>
      <c r="F37" s="53">
        <v>0</v>
      </c>
      <c r="G37" s="53">
        <v>0</v>
      </c>
      <c r="H37" s="53">
        <f>0.36*MIN(H18,50000)*(H14/60)</f>
        <v>18000</v>
      </c>
      <c r="I37" s="53">
        <f>0.36*MIN(I18,50000)*(I14/60)</f>
        <v>18000</v>
      </c>
      <c r="J37" s="53">
        <v>0</v>
      </c>
      <c r="K37" s="53">
        <v>0</v>
      </c>
    </row>
    <row r="38" spans="1:11" x14ac:dyDescent="0.2">
      <c r="A38" s="25" t="s">
        <v>96</v>
      </c>
      <c r="B38" s="53">
        <f>(B14/60)*IF(B$18&lt;=2300,0,IF(B$18&lt;=55248,28%*B$18,IF(B$18&lt;=102311,15470,15470-7.65%*(B$18-102311))))</f>
        <v>0</v>
      </c>
      <c r="C38" s="53">
        <v>0</v>
      </c>
      <c r="D38" s="53">
        <v>0</v>
      </c>
      <c r="E38" s="53">
        <v>0</v>
      </c>
      <c r="F38" s="53">
        <v>0</v>
      </c>
      <c r="G38" s="53">
        <v>0</v>
      </c>
      <c r="H38" s="53">
        <v>0</v>
      </c>
      <c r="I38" s="53">
        <v>0</v>
      </c>
      <c r="J38" s="53">
        <v>0</v>
      </c>
      <c r="K38" s="53">
        <v>0</v>
      </c>
    </row>
    <row r="39" spans="1:11" x14ac:dyDescent="0.2">
      <c r="A39" s="25" t="s">
        <v>78</v>
      </c>
      <c r="B39" s="53">
        <f t="shared" ref="B39" si="12">B30*(B29-B35-B37-B38)</f>
        <v>175000</v>
      </c>
      <c r="C39" s="53">
        <f t="shared" ref="C39:K39" si="13">C30*(C29-C35-C36-C37-C38)</f>
        <v>166646.65195790207</v>
      </c>
      <c r="D39" s="53">
        <f t="shared" si="13"/>
        <v>137420.44586291778</v>
      </c>
      <c r="E39" s="53">
        <f t="shared" si="13"/>
        <v>141799.05006153107</v>
      </c>
      <c r="F39" s="53">
        <f t="shared" si="13"/>
        <v>140014.98745350839</v>
      </c>
      <c r="G39" s="53">
        <f t="shared" si="13"/>
        <v>140014.98745350839</v>
      </c>
      <c r="H39" s="53">
        <f t="shared" si="13"/>
        <v>109996.51233974968</v>
      </c>
      <c r="I39" s="53">
        <f t="shared" si="13"/>
        <v>87394.573974122875</v>
      </c>
      <c r="J39" s="53">
        <f t="shared" si="13"/>
        <v>154273.18171133657</v>
      </c>
      <c r="K39" s="53">
        <f t="shared" si="13"/>
        <v>66072.487314165919</v>
      </c>
    </row>
    <row r="40" spans="1:11" x14ac:dyDescent="0.2">
      <c r="A40" s="25" t="s">
        <v>76</v>
      </c>
      <c r="B40" s="53">
        <f t="shared" ref="B40" si="14">B29-B35-B37-B38-B39</f>
        <v>75000</v>
      </c>
      <c r="C40" s="53">
        <f t="shared" ref="C40:K40" si="15">C29-C35-C36-C37-C38-C39</f>
        <v>71419.993696243764</v>
      </c>
      <c r="D40" s="53">
        <f t="shared" si="15"/>
        <v>58894.476798393327</v>
      </c>
      <c r="E40" s="53">
        <f t="shared" si="15"/>
        <v>60771.021454941889</v>
      </c>
      <c r="F40" s="53">
        <f t="shared" si="15"/>
        <v>60006.423194360745</v>
      </c>
      <c r="G40" s="53">
        <f t="shared" si="15"/>
        <v>60006.423194360745</v>
      </c>
      <c r="H40" s="53">
        <f t="shared" si="15"/>
        <v>47141.362431321308</v>
      </c>
      <c r="I40" s="53">
        <f t="shared" si="15"/>
        <v>37454.817417481245</v>
      </c>
      <c r="J40" s="53">
        <f t="shared" si="15"/>
        <v>66117.077876287134</v>
      </c>
      <c r="K40" s="53">
        <f t="shared" si="15"/>
        <v>28316.780277499682</v>
      </c>
    </row>
    <row r="41" spans="1:11" x14ac:dyDescent="0.2">
      <c r="A41" s="25" t="s">
        <v>77</v>
      </c>
      <c r="B41" s="53">
        <f t="shared" ref="B41:K41" si="16">B40*B32</f>
        <v>15000</v>
      </c>
      <c r="C41" s="53">
        <f t="shared" si="16"/>
        <v>14283.998739248753</v>
      </c>
      <c r="D41" s="53">
        <f t="shared" si="16"/>
        <v>11778.895359678667</v>
      </c>
      <c r="E41" s="53">
        <f t="shared" si="16"/>
        <v>12154.204290988378</v>
      </c>
      <c r="F41" s="53">
        <f t="shared" si="16"/>
        <v>12001.28463887215</v>
      </c>
      <c r="G41" s="53">
        <f t="shared" si="16"/>
        <v>12001.28463887215</v>
      </c>
      <c r="H41" s="53">
        <f t="shared" si="16"/>
        <v>9428.2724862642626</v>
      </c>
      <c r="I41" s="53">
        <f t="shared" si="16"/>
        <v>7490.963483496249</v>
      </c>
      <c r="J41" s="53">
        <f t="shared" si="16"/>
        <v>13223.415575257428</v>
      </c>
      <c r="K41" s="53">
        <f t="shared" si="16"/>
        <v>5663.3560554999367</v>
      </c>
    </row>
    <row r="42" spans="1:11" x14ac:dyDescent="0.2">
      <c r="A42" s="65" t="s">
        <v>82</v>
      </c>
      <c r="B42" s="66"/>
      <c r="C42" s="67"/>
      <c r="D42" s="67"/>
      <c r="E42" s="67"/>
      <c r="F42" s="67"/>
      <c r="G42" s="67"/>
      <c r="H42" s="67"/>
      <c r="I42" s="67"/>
      <c r="J42" s="67"/>
      <c r="K42" s="67"/>
    </row>
    <row r="43" spans="1:11" x14ac:dyDescent="0.2">
      <c r="A43" s="25" t="s">
        <v>83</v>
      </c>
      <c r="B43" s="53">
        <f t="shared" ref="B43" si="17">B29-B35-B39-B41</f>
        <v>60000</v>
      </c>
      <c r="C43" s="53">
        <f t="shared" ref="C43:K43" si="18">C29-C35-C36-C39-C41</f>
        <v>59542.937105755351</v>
      </c>
      <c r="D43" s="53">
        <f t="shared" si="18"/>
        <v>58147.052513094815</v>
      </c>
      <c r="E43" s="53">
        <f t="shared" si="18"/>
        <v>59648.288238333669</v>
      </c>
      <c r="F43" s="53">
        <f t="shared" si="18"/>
        <v>48005.138555488593</v>
      </c>
      <c r="G43" s="53">
        <f t="shared" si="18"/>
        <v>48005.138555488593</v>
      </c>
      <c r="H43" s="53">
        <f t="shared" si="18"/>
        <v>55713.089945057043</v>
      </c>
      <c r="I43" s="53">
        <f t="shared" si="18"/>
        <v>47963.853933984996</v>
      </c>
      <c r="J43" s="53">
        <f t="shared" si="18"/>
        <v>52893.662301029704</v>
      </c>
      <c r="K43" s="53">
        <f t="shared" si="18"/>
        <v>22653.424221999747</v>
      </c>
    </row>
    <row r="44" spans="1:11" x14ac:dyDescent="0.2">
      <c r="A44" s="25" t="s">
        <v>69</v>
      </c>
      <c r="B44" s="53">
        <f t="shared" ref="B44:K44" si="19">B43*B31</f>
        <v>30000</v>
      </c>
      <c r="C44" s="53">
        <f t="shared" si="19"/>
        <v>29771.468552877675</v>
      </c>
      <c r="D44" s="53">
        <f t="shared" si="19"/>
        <v>29073.526256547408</v>
      </c>
      <c r="E44" s="53">
        <f t="shared" si="19"/>
        <v>29824.144119166835</v>
      </c>
      <c r="F44" s="53">
        <f t="shared" si="19"/>
        <v>24002.569277744296</v>
      </c>
      <c r="G44" s="53">
        <f t="shared" si="19"/>
        <v>24002.569277744296</v>
      </c>
      <c r="H44" s="53">
        <f t="shared" si="19"/>
        <v>27856.544972528522</v>
      </c>
      <c r="I44" s="53">
        <f t="shared" si="19"/>
        <v>23981.926966992498</v>
      </c>
      <c r="J44" s="53">
        <f t="shared" si="19"/>
        <v>26446.831150514852</v>
      </c>
      <c r="K44" s="53">
        <f t="shared" si="19"/>
        <v>11326.712110999873</v>
      </c>
    </row>
    <row r="45" spans="1:11" x14ac:dyDescent="0.2">
      <c r="A45" s="25" t="s">
        <v>92</v>
      </c>
      <c r="B45" s="53">
        <f t="shared" ref="B45:K45" si="20">B43-B44</f>
        <v>30000</v>
      </c>
      <c r="C45" s="53">
        <f t="shared" si="20"/>
        <v>29771.468552877675</v>
      </c>
      <c r="D45" s="53">
        <f t="shared" si="20"/>
        <v>29073.526256547408</v>
      </c>
      <c r="E45" s="53">
        <f t="shared" si="20"/>
        <v>29824.144119166835</v>
      </c>
      <c r="F45" s="53">
        <f t="shared" si="20"/>
        <v>24002.569277744296</v>
      </c>
      <c r="G45" s="53">
        <f t="shared" si="20"/>
        <v>24002.569277744296</v>
      </c>
      <c r="H45" s="53">
        <f t="shared" si="20"/>
        <v>27856.544972528522</v>
      </c>
      <c r="I45" s="53">
        <f t="shared" si="20"/>
        <v>23981.926966992498</v>
      </c>
      <c r="J45" s="53">
        <f t="shared" si="20"/>
        <v>26446.831150514852</v>
      </c>
      <c r="K45" s="53">
        <f t="shared" si="20"/>
        <v>11326.712110999873</v>
      </c>
    </row>
    <row r="46" spans="1:11" x14ac:dyDescent="0.2">
      <c r="A46" s="65" t="s">
        <v>84</v>
      </c>
      <c r="B46" s="66"/>
      <c r="C46" s="66"/>
      <c r="D46" s="66"/>
      <c r="E46" s="66"/>
      <c r="F46" s="66"/>
      <c r="G46" s="66"/>
      <c r="H46" s="66"/>
      <c r="I46" s="66"/>
      <c r="J46" s="66"/>
      <c r="K46" s="66"/>
    </row>
    <row r="47" spans="1:11" x14ac:dyDescent="0.2">
      <c r="A47" s="25" t="s">
        <v>85</v>
      </c>
      <c r="B47" s="53">
        <f t="shared" ref="B47:K47" si="21">B33*B39</f>
        <v>91000</v>
      </c>
      <c r="C47" s="53">
        <f t="shared" si="21"/>
        <v>86656.259018109078</v>
      </c>
      <c r="D47" s="53">
        <f t="shared" si="21"/>
        <v>71458.631848717254</v>
      </c>
      <c r="E47" s="53">
        <f t="shared" si="21"/>
        <v>73735.506031996163</v>
      </c>
      <c r="F47" s="53">
        <f t="shared" si="21"/>
        <v>72807.793475824365</v>
      </c>
      <c r="G47" s="53">
        <f t="shared" si="21"/>
        <v>72807.793475824365</v>
      </c>
      <c r="H47" s="53">
        <f t="shared" si="21"/>
        <v>57198.186416669836</v>
      </c>
      <c r="I47" s="53">
        <f t="shared" si="21"/>
        <v>45445.178466543897</v>
      </c>
      <c r="J47" s="53">
        <f t="shared" si="21"/>
        <v>80222.054489895017</v>
      </c>
      <c r="K47" s="53">
        <f t="shared" si="21"/>
        <v>34357.693403366276</v>
      </c>
    </row>
    <row r="48" spans="1:11" x14ac:dyDescent="0.2">
      <c r="A48" s="25" t="s">
        <v>86</v>
      </c>
      <c r="B48" s="53">
        <f t="shared" ref="B48:K48" si="22">0.25*B44</f>
        <v>7500</v>
      </c>
      <c r="C48" s="53">
        <f t="shared" si="22"/>
        <v>7442.8671382194188</v>
      </c>
      <c r="D48" s="53">
        <f t="shared" si="22"/>
        <v>7268.3815641368519</v>
      </c>
      <c r="E48" s="53">
        <f t="shared" si="22"/>
        <v>7456.0360297917086</v>
      </c>
      <c r="F48" s="53">
        <f t="shared" si="22"/>
        <v>6000.6423194360741</v>
      </c>
      <c r="G48" s="53">
        <f t="shared" si="22"/>
        <v>6000.6423194360741</v>
      </c>
      <c r="H48" s="53">
        <f t="shared" si="22"/>
        <v>6964.1362431321304</v>
      </c>
      <c r="I48" s="53">
        <f t="shared" si="22"/>
        <v>5995.4817417481245</v>
      </c>
      <c r="J48" s="53">
        <f t="shared" si="22"/>
        <v>6611.707787628713</v>
      </c>
      <c r="K48" s="53">
        <f t="shared" si="22"/>
        <v>2831.6780277499684</v>
      </c>
    </row>
    <row r="49" spans="1:11" x14ac:dyDescent="0.2">
      <c r="A49" s="25" t="s">
        <v>87</v>
      </c>
      <c r="B49" s="53">
        <f t="shared" ref="B49:K49" si="23">B39-B47</f>
        <v>84000</v>
      </c>
      <c r="C49" s="53">
        <f t="shared" si="23"/>
        <v>79990.39293979299</v>
      </c>
      <c r="D49" s="53">
        <f t="shared" si="23"/>
        <v>65961.814014200529</v>
      </c>
      <c r="E49" s="53">
        <f t="shared" si="23"/>
        <v>68063.544029534911</v>
      </c>
      <c r="F49" s="53">
        <f t="shared" si="23"/>
        <v>67207.19397768403</v>
      </c>
      <c r="G49" s="53">
        <f t="shared" si="23"/>
        <v>67207.19397768403</v>
      </c>
      <c r="H49" s="53">
        <f t="shared" si="23"/>
        <v>52798.325923079843</v>
      </c>
      <c r="I49" s="53">
        <f t="shared" si="23"/>
        <v>41949.395507578978</v>
      </c>
      <c r="J49" s="53">
        <f t="shared" si="23"/>
        <v>74051.127221441551</v>
      </c>
      <c r="K49" s="53">
        <f t="shared" si="23"/>
        <v>31714.793910799643</v>
      </c>
    </row>
    <row r="50" spans="1:11" x14ac:dyDescent="0.2">
      <c r="A50" s="25" t="s">
        <v>88</v>
      </c>
      <c r="B50" s="53">
        <f t="shared" ref="B50:K50" si="24">B44-B48</f>
        <v>22500</v>
      </c>
      <c r="C50" s="53">
        <f t="shared" si="24"/>
        <v>22328.601414658257</v>
      </c>
      <c r="D50" s="53">
        <f t="shared" si="24"/>
        <v>21805.144692410555</v>
      </c>
      <c r="E50" s="53">
        <f t="shared" si="24"/>
        <v>22368.108089375128</v>
      </c>
      <c r="F50" s="53">
        <f t="shared" si="24"/>
        <v>18001.92695830822</v>
      </c>
      <c r="G50" s="53">
        <f t="shared" si="24"/>
        <v>18001.92695830822</v>
      </c>
      <c r="H50" s="53">
        <f t="shared" si="24"/>
        <v>20892.408729396389</v>
      </c>
      <c r="I50" s="53">
        <f t="shared" si="24"/>
        <v>17986.445225244373</v>
      </c>
      <c r="J50" s="53">
        <f t="shared" si="24"/>
        <v>19835.123362886137</v>
      </c>
      <c r="K50" s="53">
        <f t="shared" si="24"/>
        <v>8495.034083249906</v>
      </c>
    </row>
    <row r="51" spans="1:11" x14ac:dyDescent="0.2">
      <c r="A51" s="62" t="s">
        <v>89</v>
      </c>
      <c r="B51" s="64">
        <f t="shared" ref="B51:K51" si="25">B45+B49+B50</f>
        <v>136500</v>
      </c>
      <c r="C51" s="64">
        <f t="shared" si="25"/>
        <v>132090.46290732891</v>
      </c>
      <c r="D51" s="64">
        <f t="shared" si="25"/>
        <v>116840.48496315849</v>
      </c>
      <c r="E51" s="64">
        <f t="shared" si="25"/>
        <v>120255.79623807687</v>
      </c>
      <c r="F51" s="64">
        <f t="shared" si="25"/>
        <v>109211.69021373654</v>
      </c>
      <c r="G51" s="64">
        <f t="shared" si="25"/>
        <v>109211.69021373654</v>
      </c>
      <c r="H51" s="64">
        <f t="shared" si="25"/>
        <v>101547.27962500474</v>
      </c>
      <c r="I51" s="64">
        <f t="shared" si="25"/>
        <v>83917.767699815842</v>
      </c>
      <c r="J51" s="64">
        <f t="shared" si="25"/>
        <v>120333.08173484253</v>
      </c>
      <c r="K51" s="64">
        <f t="shared" si="25"/>
        <v>51536.540105049426</v>
      </c>
    </row>
    <row r="52" spans="1:11" x14ac:dyDescent="0.2">
      <c r="A52" s="62" t="s">
        <v>90</v>
      </c>
      <c r="B52" s="63"/>
      <c r="C52" s="64">
        <f t="shared" ref="C52:K52" si="26">$B$51-C$51</f>
        <v>4409.5370926710893</v>
      </c>
      <c r="D52" s="64">
        <f t="shared" si="26"/>
        <v>19659.515036841505</v>
      </c>
      <c r="E52" s="64">
        <f t="shared" si="26"/>
        <v>16244.203761923127</v>
      </c>
      <c r="F52" s="64">
        <f t="shared" si="26"/>
        <v>27288.30978626346</v>
      </c>
      <c r="G52" s="64">
        <f t="shared" si="26"/>
        <v>27288.30978626346</v>
      </c>
      <c r="H52" s="64">
        <f t="shared" si="26"/>
        <v>34952.72037499526</v>
      </c>
      <c r="I52" s="64">
        <f t="shared" si="26"/>
        <v>52582.232300184158</v>
      </c>
      <c r="J52" s="64">
        <f t="shared" si="26"/>
        <v>16166.918265157467</v>
      </c>
      <c r="K52" s="64">
        <f t="shared" si="26"/>
        <v>84963.459894950574</v>
      </c>
    </row>
    <row r="53" spans="1:11" x14ac:dyDescent="0.2">
      <c r="A53" s="62" t="s">
        <v>91</v>
      </c>
      <c r="B53" s="63"/>
      <c r="C53" s="64">
        <f t="shared" ref="C53:K53" si="27">C52/C14</f>
        <v>73.492284877851489</v>
      </c>
      <c r="D53" s="64">
        <f t="shared" si="27"/>
        <v>327.65858394735841</v>
      </c>
      <c r="E53" s="64">
        <f t="shared" si="27"/>
        <v>270.73672936538543</v>
      </c>
      <c r="F53" s="64">
        <f t="shared" si="27"/>
        <v>454.805163104391</v>
      </c>
      <c r="G53" s="64">
        <f t="shared" si="27"/>
        <v>454.805163104391</v>
      </c>
      <c r="H53" s="64">
        <f t="shared" si="27"/>
        <v>582.5453395832543</v>
      </c>
      <c r="I53" s="64">
        <f t="shared" si="27"/>
        <v>876.37053833640266</v>
      </c>
      <c r="J53" s="64">
        <f t="shared" si="27"/>
        <v>269.44863775262445</v>
      </c>
      <c r="K53" s="64">
        <f t="shared" si="27"/>
        <v>1416.0576649158429</v>
      </c>
    </row>
  </sheetData>
  <dataValidations count="10">
    <dataValidation type="decimal" allowBlank="1" showInputMessage="1" showErrorMessage="1" promptTitle="Toelichting bij Energiekosten" prompt="Vul bij elektriciteit de prijs per kWh is en bij brandstof de prijs per liter._x000a__x000a_Voor particulieren zijn de marginale kosten (wat je extra betaalt voor een extra kWh) in 2012 circa €0,20 en voor grote bedrijven tussen de €0,05 en €0,11." sqref="C11">
      <formula1>0.05</formula1>
      <formula2>300</formula2>
    </dataValidation>
    <dataValidation type="whole" allowBlank="1" showInputMessage="1" showErrorMessage="1" errorTitle="Foutmelding consumentenprijs" error="Vul hier een geheel getal in tussen 1 en 50.000 (in euro's)." promptTitle="Afleverkosten etc." prompt="Vul hier in wat u betaald heeft aan afleverkosten, rijklaar maken en alle andere kosten die de dealer u in rekening bracht. Dit zijn investeringen die u in de auto heeft gedaan. Doe dit incl. BTW." sqref="C6:K6">
      <formula1>1</formula1>
      <formula2>50000</formula2>
    </dataValidation>
    <dataValidation type="decimal" allowBlank="1" showInputMessage="1" showErrorMessage="1" promptTitle="Verbruik in liters of kWh" prompt="Bij benzine, diesel of LPG: het aantal liter per 100 km._x000a_Bij elektriciteit: het aantal kWh per 100 km. _x000a_Vuistregel:tussen 15 en 35kWh._x000a_Als u realistisch wilt zijn vermenigvuldigt u de waarde uit folder (obv de Europese norm) met 1,5 o.i.d." sqref="C10:K10">
      <formula1>0.01</formula1>
      <formula2>30</formula2>
    </dataValidation>
    <dataValidation type="whole" allowBlank="1" showInputMessage="1" showErrorMessage="1" errorTitle="Foutmelding consumentenprijs" error="Vul hier een geheel getal in tussen 1 en 50.000 (in euro's)." promptTitle="Aankoopkorting" prompt="Vaak kunt u aankoopkorting krijgen. Bijvoorbeeld omdat u geen inruilwagen hebt of omdat u vaker bij deze dealer koopt. Deze kortingen worden afgetrokken van uw investering." sqref="C7:K7">
      <formula1>0</formula1>
      <formula2>50000</formula2>
    </dataValidation>
    <dataValidation type="list" allowBlank="1" showInputMessage="1" showErrorMessage="1" errorTitle="Foutmelding bijtelling" error="Geldige bijtellingspercentages zijn 0, 7, 14,20 en 25 procent." promptTitle="Bijtellingspercentage" prompt="Vul hier het bijtellingspercentage van de auto in:_x000a_- 0% voor elektrische auto's en PHEV's_x000a_- 14% voor zeer zuinige auto's_x000a_- 20% voor meer dan gemiddeld zuinige auto's_x000a_- 25% voor de overige auto's" sqref="C8:K8">
      <formula1>lijstbijtelling</formula1>
    </dataValidation>
    <dataValidation type="whole" allowBlank="1" showInputMessage="1" showErrorMessage="1" errorTitle="Foutmelding looptijd" error="U moet een waarde tussen 12 en 120 invullen" promptTitle="Looptijd in maanden" prompt="Vul hier het aantal maanden in dat u de auto wilt gebruiken voor u hem van de hand doet. Let op: MIA en KIA zijn lager als u minder dan 60 maanden invult omdat dan de restwaarde wordt afgetrokken." sqref="C14:K14">
      <formula1>12</formula1>
      <formula2>120</formula2>
    </dataValidation>
    <dataValidation type="whole" allowBlank="1" showInputMessage="1" showErrorMessage="1" errorTitle="Foutmelding kilometrage" error="U moet een geheel getal invullen tussen 0 en 100.000 (kilometer per jaar)." promptTitle="Kilometers per jaar" prompt="Vul hier het aantal kilometer per jaar in dat u gemiddeld denkt te gaan rijden over de looptijd." sqref="C15:K15">
      <formula1>0</formula1>
      <formula2>100000</formula2>
    </dataValidation>
    <dataValidation type="whole" allowBlank="1" showInputMessage="1" showErrorMessage="1" errorTitle="Foutmelding consumentenprijs" error="Vul hier een geheel getal in tussen 500 en 500000 (in euro's)." promptTitle="Consumentenprijs" prompt="Vul hier de consumentenprijs in. _x000a_Dus inclusief BTW en BPM,_x000a_maar exclusief afleverkosten en aankoopkorting." sqref="C5:K5">
      <formula1>500</formula1>
      <formula2>500000</formula2>
    </dataValidation>
    <dataValidation type="list" allowBlank="1" showInputMessage="1" showErrorMessage="1" errorTitle="Waarschuwing keuze energiedrager" error="U hebt een energiedrager ingevuld waar dit model niet mee kan rekenen!" promptTitle="Toelichting keuze energiedrager" prompt="Hoe neemt u energie mee?_x000a_Tankt u benzine, diesel, LPG of elektriciteit?_x000a_Of hebt u een PHEV (plug-in hybrid electric vehicle) waarmee u zowel elektriciteit als brandstof tankt?_x000a_Dit is van belang voor energieprijs, MIA/KIA/VAMIL en inkomensbijtelling." sqref="C9:K9">
      <formula1>LijstEnergiedrager</formula1>
    </dataValidation>
    <dataValidation type="decimal" allowBlank="1" showInputMessage="1" showErrorMessage="1" errorTitle="Foutmelding belastingpercentage" error="Het percentage dat u invult moet tussen 0 en 52 liggen!" promptTitle="Belastingpercentage" prompt="Vul het belastingpercentage in dat uw bedrijf betaalt. Een modaal iemand betaalt 42% en een bovenmodaal iemand 52%. Zie de linkerkolom voor meer uitleg en een rekenvoorbeeld." sqref="B33:K33">
      <formula1>0</formula1>
      <formula2>0.52</formula2>
    </dataValidation>
  </dataValidations>
  <pageMargins left="0.7" right="0.7" top="0.75" bottom="0.75" header="0.3" footer="0.3"/>
  <pageSetup paperSize="9" orientation="portrait" horizontalDpi="4294967292" verticalDpi="4294967292"/>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enableFormatConditionsCalculation="0"/>
  <dimension ref="A1:A21"/>
  <sheetViews>
    <sheetView workbookViewId="0">
      <selection activeCell="A22" sqref="A22"/>
    </sheetView>
  </sheetViews>
  <sheetFormatPr baseColWidth="10" defaultColWidth="8.83203125" defaultRowHeight="15" x14ac:dyDescent="0.2"/>
  <cols>
    <col min="1" max="1" width="20.1640625" customWidth="1"/>
  </cols>
  <sheetData>
    <row r="1" spans="1:1" x14ac:dyDescent="0.2">
      <c r="A1" t="s">
        <v>3</v>
      </c>
    </row>
    <row r="2" spans="1:1" x14ac:dyDescent="0.2">
      <c r="A2" t="s">
        <v>4</v>
      </c>
    </row>
    <row r="3" spans="1:1" x14ac:dyDescent="0.2">
      <c r="A3" t="s">
        <v>5</v>
      </c>
    </row>
    <row r="4" spans="1:1" x14ac:dyDescent="0.2">
      <c r="A4" t="s">
        <v>30</v>
      </c>
    </row>
    <row r="5" spans="1:1" x14ac:dyDescent="0.2">
      <c r="A5" t="s">
        <v>6</v>
      </c>
    </row>
    <row r="6" spans="1:1" x14ac:dyDescent="0.2">
      <c r="A6" t="s">
        <v>7</v>
      </c>
    </row>
    <row r="8" spans="1:1" x14ac:dyDescent="0.2">
      <c r="A8" t="s">
        <v>9</v>
      </c>
    </row>
    <row r="9" spans="1:1" x14ac:dyDescent="0.2">
      <c r="A9" t="s">
        <v>10</v>
      </c>
    </row>
    <row r="10" spans="1:1" x14ac:dyDescent="0.2">
      <c r="A10" t="s">
        <v>11</v>
      </c>
    </row>
    <row r="14" spans="1:1" x14ac:dyDescent="0.2">
      <c r="A14" t="s">
        <v>12</v>
      </c>
    </row>
    <row r="15" spans="1:1" x14ac:dyDescent="0.2">
      <c r="A15" t="s">
        <v>13</v>
      </c>
    </row>
    <row r="17" spans="1:1" x14ac:dyDescent="0.2">
      <c r="A17" s="1">
        <v>0.04</v>
      </c>
    </row>
    <row r="18" spans="1:1" x14ac:dyDescent="0.2">
      <c r="A18" s="1">
        <v>0.15</v>
      </c>
    </row>
    <row r="19" spans="1:1" x14ac:dyDescent="0.2">
      <c r="A19" s="1">
        <v>0.21</v>
      </c>
    </row>
    <row r="20" spans="1:1" x14ac:dyDescent="0.2">
      <c r="A20" s="1">
        <v>0.25</v>
      </c>
    </row>
    <row r="21" spans="1:1" x14ac:dyDescent="0.2">
      <c r="A21" s="1">
        <v>0.25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
  <sheetData/>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Werkbladen</vt:lpstr>
      </vt:variant>
      <vt:variant>
        <vt:i4>4</vt:i4>
      </vt:variant>
    </vt:vector>
  </HeadingPairs>
  <TitlesOfParts>
    <vt:vector size="4" baseType="lpstr">
      <vt:lpstr>TCO</vt:lpstr>
      <vt:lpstr>BV</vt:lpstr>
      <vt:lpstr>Basis</vt:lpstr>
      <vt:lpstr>Sheet1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Auke</dc:creator>
  <cp:lastModifiedBy>Microsoft Office-gebruiker</cp:lastModifiedBy>
  <cp:lastPrinted>2017-09-29T06:13:35Z</cp:lastPrinted>
  <dcterms:created xsi:type="dcterms:W3CDTF">2012-05-30T04:46:26Z</dcterms:created>
  <dcterms:modified xsi:type="dcterms:W3CDTF">2017-09-29T06:16:26Z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