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codeName="ThisWorkbook" autoCompressPictures="0"/>
  <mc:AlternateContent xmlns:mc="http://schemas.openxmlformats.org/markup-compatibility/2006">
    <mc:Choice Requires="x15">
      <x15ac:absPath xmlns:x15ac="http://schemas.microsoft.com/office/spreadsheetml/2010/11/ac" url="/Users/msteinbuch/Downloads/"/>
    </mc:Choice>
  </mc:AlternateContent>
  <bookViews>
    <workbookView xWindow="0" yWindow="460" windowWidth="28800" windowHeight="17460"/>
  </bookViews>
  <sheets>
    <sheet name="TCO" sheetId="1" r:id="rId1"/>
    <sheet name="BV" sheetId="3" r:id="rId2"/>
    <sheet name="Basis" sheetId="2" r:id="rId3"/>
    <sheet name="Sheet1" sheetId="4" r:id="rId4"/>
  </sheets>
  <definedNames>
    <definedName name="_xlnm.Print_Area" localSheetId="0">TCO!$A$1:$F$40</definedName>
    <definedName name="lijstbijtelling">Basis!$A$17:$A$21</definedName>
    <definedName name="LijstEnergiedrager">Basis!$A$1:$A$6</definedName>
    <definedName name="LijstFiscaalRegime">Basis!$A$8:$A$10</definedName>
    <definedName name="LijstJaNee">Basis!$A$14:$A$15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G20" i="1"/>
  <c r="F20" i="1"/>
  <c r="E20" i="1"/>
  <c r="D20" i="1"/>
  <c r="C20" i="1"/>
  <c r="B20" i="1"/>
  <c r="G25" i="3"/>
  <c r="F25" i="3"/>
  <c r="K25" i="3"/>
  <c r="J25" i="3"/>
  <c r="D29" i="1"/>
  <c r="H29" i="1"/>
  <c r="G29" i="1"/>
  <c r="F29" i="1"/>
  <c r="B37" i="3"/>
  <c r="C18" i="3"/>
  <c r="C37" i="3"/>
  <c r="D18" i="3"/>
  <c r="D37" i="3"/>
  <c r="E18" i="3"/>
  <c r="E37" i="3"/>
  <c r="I18" i="3"/>
  <c r="I37" i="3"/>
  <c r="H18" i="3"/>
  <c r="H37" i="3"/>
  <c r="H36" i="1"/>
  <c r="G36" i="1"/>
  <c r="F36" i="1"/>
  <c r="E21" i="1"/>
  <c r="E36" i="1"/>
  <c r="D36" i="1"/>
  <c r="C21" i="1"/>
  <c r="C36" i="1"/>
  <c r="B21" i="1"/>
  <c r="B36" i="1"/>
  <c r="K18" i="3"/>
  <c r="K19" i="3"/>
  <c r="K20" i="3"/>
  <c r="K21" i="3"/>
  <c r="K24" i="3"/>
  <c r="K26" i="3"/>
  <c r="K22" i="3"/>
  <c r="K23" i="3"/>
  <c r="K27" i="3"/>
  <c r="K35" i="3"/>
  <c r="K36" i="3"/>
  <c r="K39" i="3"/>
  <c r="K40" i="3"/>
  <c r="K41" i="3"/>
  <c r="K43" i="3"/>
  <c r="J18" i="3"/>
  <c r="J19" i="3"/>
  <c r="J20" i="3"/>
  <c r="J21" i="3"/>
  <c r="J24" i="3"/>
  <c r="J26" i="3"/>
  <c r="J22" i="3"/>
  <c r="J23" i="3"/>
  <c r="J27" i="3"/>
  <c r="J35" i="3"/>
  <c r="J36" i="3"/>
  <c r="J39" i="3"/>
  <c r="J40" i="3"/>
  <c r="J41" i="3"/>
  <c r="J43" i="3"/>
  <c r="I19" i="3"/>
  <c r="I20" i="3"/>
  <c r="I21" i="3"/>
  <c r="I24" i="3"/>
  <c r="I26" i="3"/>
  <c r="I22" i="3"/>
  <c r="I23" i="3"/>
  <c r="I27" i="3"/>
  <c r="I35" i="3"/>
  <c r="I36" i="3"/>
  <c r="I39" i="3"/>
  <c r="I40" i="3"/>
  <c r="I41" i="3"/>
  <c r="I43" i="3"/>
  <c r="H19" i="3"/>
  <c r="H20" i="3"/>
  <c r="H21" i="3"/>
  <c r="H24" i="3"/>
  <c r="H26" i="3"/>
  <c r="H22" i="3"/>
  <c r="H23" i="3"/>
  <c r="H27" i="3"/>
  <c r="H35" i="3"/>
  <c r="H36" i="3"/>
  <c r="H39" i="3"/>
  <c r="H40" i="3"/>
  <c r="H41" i="3"/>
  <c r="H43" i="3"/>
  <c r="G18" i="3"/>
  <c r="G19" i="3"/>
  <c r="G20" i="3"/>
  <c r="G21" i="3"/>
  <c r="G24" i="3"/>
  <c r="G26" i="3"/>
  <c r="G22" i="3"/>
  <c r="G23" i="3"/>
  <c r="G27" i="3"/>
  <c r="G35" i="3"/>
  <c r="G36" i="3"/>
  <c r="G39" i="3"/>
  <c r="G40" i="3"/>
  <c r="G41" i="3"/>
  <c r="G43" i="3"/>
  <c r="F18" i="3"/>
  <c r="F19" i="3"/>
  <c r="F20" i="3"/>
  <c r="F21" i="3"/>
  <c r="F24" i="3"/>
  <c r="F26" i="3"/>
  <c r="F22" i="3"/>
  <c r="F23" i="3"/>
  <c r="F27" i="3"/>
  <c r="F35" i="3"/>
  <c r="F36" i="3"/>
  <c r="F39" i="3"/>
  <c r="F40" i="3"/>
  <c r="F41" i="3"/>
  <c r="F43" i="3"/>
  <c r="E19" i="3"/>
  <c r="E20" i="3"/>
  <c r="E21" i="3"/>
  <c r="E24" i="3"/>
  <c r="E26" i="3"/>
  <c r="E22" i="3"/>
  <c r="E23" i="3"/>
  <c r="E27" i="3"/>
  <c r="E35" i="3"/>
  <c r="E36" i="3"/>
  <c r="E39" i="3"/>
  <c r="E40" i="3"/>
  <c r="E41" i="3"/>
  <c r="E43" i="3"/>
  <c r="D19" i="3"/>
  <c r="D20" i="3"/>
  <c r="D21" i="3"/>
  <c r="D24" i="3"/>
  <c r="D26" i="3"/>
  <c r="D22" i="3"/>
  <c r="D23" i="3"/>
  <c r="D27" i="3"/>
  <c r="D35" i="3"/>
  <c r="D36" i="3"/>
  <c r="D39" i="3"/>
  <c r="D40" i="3"/>
  <c r="D41" i="3"/>
  <c r="D43" i="3"/>
  <c r="C19" i="3"/>
  <c r="C20" i="3"/>
  <c r="C21" i="3"/>
  <c r="C24" i="3"/>
  <c r="C26" i="3"/>
  <c r="C22" i="3"/>
  <c r="C23" i="3"/>
  <c r="C27" i="3"/>
  <c r="C35" i="3"/>
  <c r="C36" i="3"/>
  <c r="C39" i="3"/>
  <c r="C40" i="3"/>
  <c r="C41" i="3"/>
  <c r="C43" i="3"/>
  <c r="B36" i="3"/>
  <c r="B38" i="1"/>
  <c r="C38" i="1"/>
  <c r="D38" i="1"/>
  <c r="E38" i="1"/>
  <c r="E33" i="1"/>
  <c r="D33" i="1"/>
  <c r="C33" i="1"/>
  <c r="B33" i="1"/>
  <c r="K44" i="3"/>
  <c r="K45" i="3"/>
  <c r="K47" i="3"/>
  <c r="K49" i="3"/>
  <c r="K48" i="3"/>
  <c r="K50" i="3"/>
  <c r="K51" i="3"/>
  <c r="B35" i="3"/>
  <c r="B38" i="3"/>
  <c r="B39" i="3"/>
  <c r="B40" i="3"/>
  <c r="B41" i="3"/>
  <c r="B43" i="3"/>
  <c r="B44" i="3"/>
  <c r="B45" i="3"/>
  <c r="B47" i="3"/>
  <c r="B49" i="3"/>
  <c r="B48" i="3"/>
  <c r="B50" i="3"/>
  <c r="B51" i="3"/>
  <c r="K52" i="3"/>
  <c r="K53" i="3"/>
  <c r="K17" i="3"/>
  <c r="J44" i="3"/>
  <c r="J45" i="3"/>
  <c r="J47" i="3"/>
  <c r="J49" i="3"/>
  <c r="J48" i="3"/>
  <c r="J50" i="3"/>
  <c r="J51" i="3"/>
  <c r="J52" i="3"/>
  <c r="J53" i="3"/>
  <c r="J17" i="3"/>
  <c r="I44" i="3"/>
  <c r="I45" i="3"/>
  <c r="I47" i="3"/>
  <c r="I49" i="3"/>
  <c r="I48" i="3"/>
  <c r="I50" i="3"/>
  <c r="I51" i="3"/>
  <c r="I52" i="3"/>
  <c r="I53" i="3"/>
  <c r="I17" i="3"/>
  <c r="H44" i="3"/>
  <c r="H45" i="3"/>
  <c r="H47" i="3"/>
  <c r="H49" i="3"/>
  <c r="H48" i="3"/>
  <c r="H50" i="3"/>
  <c r="H51" i="3"/>
  <c r="H52" i="3"/>
  <c r="H53" i="3"/>
  <c r="H17" i="3"/>
  <c r="G44" i="3"/>
  <c r="G45" i="3"/>
  <c r="G47" i="3"/>
  <c r="G49" i="3"/>
  <c r="G48" i="3"/>
  <c r="G50" i="3"/>
  <c r="G51" i="3"/>
  <c r="G52" i="3"/>
  <c r="G53" i="3"/>
  <c r="G17" i="3"/>
  <c r="F44" i="3"/>
  <c r="F45" i="3"/>
  <c r="F47" i="3"/>
  <c r="F49" i="3"/>
  <c r="F48" i="3"/>
  <c r="F50" i="3"/>
  <c r="F51" i="3"/>
  <c r="F52" i="3"/>
  <c r="F53" i="3"/>
  <c r="F17" i="3"/>
  <c r="E44" i="3"/>
  <c r="E45" i="3"/>
  <c r="E47" i="3"/>
  <c r="E49" i="3"/>
  <c r="E48" i="3"/>
  <c r="E50" i="3"/>
  <c r="E51" i="3"/>
  <c r="E52" i="3"/>
  <c r="E53" i="3"/>
  <c r="E17" i="3"/>
  <c r="D44" i="3"/>
  <c r="D45" i="3"/>
  <c r="D47" i="3"/>
  <c r="D49" i="3"/>
  <c r="D48" i="3"/>
  <c r="D50" i="3"/>
  <c r="D51" i="3"/>
  <c r="D52" i="3"/>
  <c r="D53" i="3"/>
  <c r="D17" i="3"/>
  <c r="C44" i="3"/>
  <c r="C45" i="3"/>
  <c r="C47" i="3"/>
  <c r="C49" i="3"/>
  <c r="C48" i="3"/>
  <c r="C50" i="3"/>
  <c r="C51" i="3"/>
  <c r="C52" i="3"/>
  <c r="C53" i="3"/>
  <c r="C17" i="3"/>
  <c r="D21" i="1"/>
  <c r="F21" i="1"/>
  <c r="G21" i="1"/>
  <c r="H21" i="1"/>
  <c r="B22" i="1"/>
  <c r="C22" i="1"/>
  <c r="D22" i="1"/>
  <c r="E22" i="1"/>
  <c r="F22" i="1"/>
  <c r="G22" i="1"/>
  <c r="H22" i="1"/>
  <c r="B23" i="1"/>
  <c r="C23" i="1"/>
  <c r="D23" i="1"/>
  <c r="E23" i="1"/>
  <c r="F23" i="1"/>
  <c r="G23" i="1"/>
  <c r="H23" i="1"/>
  <c r="B24" i="1"/>
  <c r="C24" i="1"/>
  <c r="D24" i="1"/>
  <c r="E24" i="1"/>
  <c r="F24" i="1"/>
  <c r="G24" i="1"/>
  <c r="H24" i="1"/>
  <c r="B26" i="1"/>
  <c r="B27" i="1"/>
  <c r="B28" i="1"/>
  <c r="B30" i="1"/>
  <c r="B31" i="1"/>
  <c r="B25" i="1"/>
  <c r="C26" i="1"/>
  <c r="C27" i="1"/>
  <c r="C28" i="1"/>
  <c r="C30" i="1"/>
  <c r="C31" i="1"/>
  <c r="C25" i="1"/>
  <c r="D26" i="1"/>
  <c r="D27" i="1"/>
  <c r="D28" i="1"/>
  <c r="D30" i="1"/>
  <c r="D31" i="1"/>
  <c r="D25" i="1"/>
  <c r="E26" i="1"/>
  <c r="E27" i="1"/>
  <c r="E28" i="1"/>
  <c r="E30" i="1"/>
  <c r="E31" i="1"/>
  <c r="E25" i="1"/>
  <c r="F26" i="1"/>
  <c r="F27" i="1"/>
  <c r="F28" i="1"/>
  <c r="F30" i="1"/>
  <c r="F31" i="1"/>
  <c r="F25" i="1"/>
  <c r="G26" i="1"/>
  <c r="G27" i="1"/>
  <c r="G28" i="1"/>
  <c r="G30" i="1"/>
  <c r="G31" i="1"/>
  <c r="G25" i="1"/>
  <c r="H26" i="1"/>
  <c r="H27" i="1"/>
  <c r="H28" i="1"/>
  <c r="H30" i="1"/>
  <c r="H31" i="1"/>
  <c r="H25" i="1"/>
  <c r="B34" i="1"/>
  <c r="B35" i="1"/>
  <c r="B32" i="1"/>
  <c r="C34" i="1"/>
  <c r="C35" i="1"/>
  <c r="C32" i="1"/>
  <c r="D34" i="1"/>
  <c r="D35" i="1"/>
  <c r="D32" i="1"/>
  <c r="E34" i="1"/>
  <c r="E35" i="1"/>
  <c r="E32" i="1"/>
  <c r="F33" i="1"/>
  <c r="F34" i="1"/>
  <c r="F35" i="1"/>
  <c r="F37" i="1"/>
  <c r="F38" i="1"/>
  <c r="F32" i="1"/>
  <c r="G33" i="1"/>
  <c r="G34" i="1"/>
  <c r="G35" i="1"/>
  <c r="G37" i="1"/>
  <c r="G38" i="1"/>
  <c r="G32" i="1"/>
  <c r="H34" i="1"/>
  <c r="H35" i="1"/>
  <c r="H37" i="1"/>
  <c r="H38" i="1"/>
  <c r="H32" i="1"/>
  <c r="B40" i="1"/>
  <c r="C40" i="1"/>
  <c r="D40" i="1"/>
  <c r="E40" i="1"/>
  <c r="F40" i="1"/>
  <c r="G40" i="1"/>
  <c r="H40" i="1"/>
</calcChain>
</file>

<file path=xl/comments1.xml><?xml version="1.0" encoding="utf-8"?>
<comments xmlns="http://schemas.openxmlformats.org/spreadsheetml/2006/main">
  <authors>
    <author>Auke</author>
  </authors>
  <commentList>
    <comment ref="A6" authorId="0">
      <text>
        <r>
          <rPr>
            <sz val="9"/>
            <color indexed="81"/>
            <rFont val="Tahoma"/>
            <family val="2"/>
          </rPr>
          <t>Tel afleverkosten, rijklaar maken en dergelijke erbij op.
Trek de aankoopkorting ervan af.
Het gaat straks niet om het bedrag in de brochure maar om wat u daadwerkelijk hebt betaald.</t>
        </r>
      </text>
    </comment>
    <comment ref="A11" authorId="0">
      <text>
        <r>
          <rPr>
            <sz val="9"/>
            <color indexed="81"/>
            <rFont val="Tahoma"/>
            <family val="2"/>
          </rPr>
          <t>Berekend inclusief BTW.</t>
        </r>
      </text>
    </comment>
    <comment ref="A12" authorId="0">
      <text>
        <r>
          <rPr>
            <sz val="9"/>
            <color indexed="81"/>
            <rFont val="Tahoma"/>
            <family val="2"/>
          </rPr>
          <t>De retwaardeberekening is gemaakt op basis van gemiddelde die in het leasewezen worden gebruikt. (Met dank aan Roel Hinriks Leaseconsult.)
Maar misschien verwacht u dat een bepaalde auto zijn waarde beter of slechter behoudt. Dat kunt u hier invullen.
Wij raden u aan om de restwaarde van een elektriche auto voor de zekerheid op niet meer dan 75% van het gemiddelde voor brandstofauto's te zetten. Sommige experts achten dat overdreven voorzichtig maar anderen gaan zelfs uit van 50%. Dit zult u zelf moeten beslissen.</t>
        </r>
      </text>
    </comment>
    <comment ref="A18"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A22" authorId="0">
      <text>
        <r>
          <rPr>
            <sz val="9"/>
            <color indexed="81"/>
            <rFont val="Tahoma"/>
            <family val="2"/>
          </rPr>
          <t>De retwaardeberekening is gemaakt op basis van gemiddelde die in het leasewezen worden gebruikt. (Met dank aan Roel Hinriks Leaseconsult.)</t>
        </r>
      </text>
    </comment>
    <comment ref="B23" authorId="0">
      <text>
        <r>
          <rPr>
            <sz val="9"/>
            <color indexed="81"/>
            <rFont val="Tahoma"/>
            <family val="2"/>
          </rPr>
          <t>De investering min de restwaarde, gedeeld door de looptijd.
De BPM wijkt iets af omdat de belastingdienst daar een vaste rekenmethode voor heeft maar het verschil is gering.</t>
        </r>
      </text>
    </comment>
    <comment ref="C23" authorId="0">
      <text>
        <r>
          <rPr>
            <sz val="9"/>
            <color indexed="81"/>
            <rFont val="Tahoma"/>
            <family val="2"/>
          </rPr>
          <t>De investering min de restwaarde, gedeeld door de looptijd.
De BPM wijkt iets af omdat de belastingdienst daar een vaste rekenmethode voor heeft maar het verschil is gering.</t>
        </r>
      </text>
    </comment>
    <comment ref="D23" authorId="0">
      <text>
        <r>
          <rPr>
            <sz val="9"/>
            <color indexed="81"/>
            <rFont val="Tahoma"/>
            <family val="2"/>
          </rPr>
          <t>De investering min de restwaarde, gedeeld door de looptijd.
De BPM wijkt iets af omdat de belastingdienst daar een vaste rekenmethode voor heeft maar het verschil is gering.</t>
        </r>
      </text>
    </comment>
    <comment ref="E23" authorId="0">
      <text>
        <r>
          <rPr>
            <sz val="9"/>
            <color indexed="81"/>
            <rFont val="Tahoma"/>
            <family val="2"/>
          </rPr>
          <t>De investering min de restwaarde, gedeeld door de looptijd.
De BPM wijkt iets af omdat de belastingdienst daar een vaste rekenmethode voor heeft maar het verschil is gering.</t>
        </r>
      </text>
    </comment>
    <comment ref="F23" authorId="0">
      <text>
        <r>
          <rPr>
            <sz val="9"/>
            <color indexed="81"/>
            <rFont val="Tahoma"/>
            <family val="2"/>
          </rPr>
          <t>De investering min de restwaarde, gedeeld door de looptijd.
De BPM wijkt iets af omdat de belastingdienst daar een vaste rekenmethode voor heeft maar het verschil is gering.</t>
        </r>
      </text>
    </comment>
    <comment ref="G23" authorId="0">
      <text>
        <r>
          <rPr>
            <sz val="9"/>
            <color indexed="81"/>
            <rFont val="Tahoma"/>
            <family val="2"/>
          </rPr>
          <t>De investering min de restwaarde, gedeeld door de looptijd.
De BPM wijkt iets af omdat de belastingdienst daar een vaste rekenmethode voor heeft maar het verschil is gering.</t>
        </r>
      </text>
    </comment>
    <comment ref="H23" authorId="0">
      <text>
        <r>
          <rPr>
            <sz val="9"/>
            <color indexed="81"/>
            <rFont val="Tahoma"/>
            <family val="2"/>
          </rPr>
          <t>De investering min de restwaarde, gedeeld door de looptijd.
De BPM wijkt iets af omdat de belastingdienst daar een vaste rekenmethode voor heeft maar het verschil is gering.</t>
        </r>
      </text>
    </comment>
    <comment ref="B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C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D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E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F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G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H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B27"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C27" authorId="0">
      <text>
        <r>
          <rPr>
            <sz val="9"/>
            <color indexed="81"/>
            <rFont val="Tahoma"/>
            <family val="2"/>
          </rPr>
          <t>Uitgaande van een lening voor de investering min de restwaarde.</t>
        </r>
      </text>
    </comment>
    <comment ref="D27" authorId="0">
      <text>
        <r>
          <rPr>
            <sz val="9"/>
            <color indexed="81"/>
            <rFont val="Tahoma"/>
            <family val="2"/>
          </rPr>
          <t>Uitgaande van een lening voor de investering min de restwaarde.</t>
        </r>
      </text>
    </comment>
    <comment ref="E27" authorId="0">
      <text>
        <r>
          <rPr>
            <sz val="9"/>
            <color indexed="81"/>
            <rFont val="Tahoma"/>
            <family val="2"/>
          </rPr>
          <t>Uitgaande van een lening voor de investering min de restwaarde.</t>
        </r>
      </text>
    </comment>
    <comment ref="F27" authorId="0">
      <text>
        <r>
          <rPr>
            <sz val="9"/>
            <color indexed="81"/>
            <rFont val="Tahoma"/>
            <family val="2"/>
          </rPr>
          <t>Uitgaande van een lening voor de investering min de restwaarde.</t>
        </r>
      </text>
    </comment>
    <comment ref="G27" authorId="0">
      <text>
        <r>
          <rPr>
            <sz val="9"/>
            <color indexed="81"/>
            <rFont val="Tahoma"/>
            <family val="2"/>
          </rPr>
          <t>Uitgaande van een lening voor de investering min de restwaarde.</t>
        </r>
      </text>
    </comment>
    <comment ref="H27" authorId="0">
      <text>
        <r>
          <rPr>
            <sz val="9"/>
            <color indexed="81"/>
            <rFont val="Tahoma"/>
            <family val="2"/>
          </rPr>
          <t>Uitgaande van een lening voor de investering min de restwaarde.</t>
        </r>
      </text>
    </comment>
    <comment ref="B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C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D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E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F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G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H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B30" authorId="0">
      <text>
        <r>
          <rPr>
            <sz val="9"/>
            <color indexed="81"/>
            <rFont val="Tahoma"/>
            <family val="2"/>
          </rPr>
          <t>Ruwe schatting want het hangt erg af van het model en voor elektrische auto's weten we het nog nauwelijks.</t>
        </r>
      </text>
    </comment>
    <comment ref="C30" authorId="0">
      <text>
        <r>
          <rPr>
            <sz val="9"/>
            <color indexed="81"/>
            <rFont val="Tahoma"/>
            <family val="2"/>
          </rPr>
          <t>Ruwe schatting want het hangt erg af van het model en voor elektrische auto's weten we het nog nauwelijks.</t>
        </r>
      </text>
    </comment>
    <comment ref="D30" authorId="0">
      <text>
        <r>
          <rPr>
            <sz val="9"/>
            <color indexed="81"/>
            <rFont val="Tahoma"/>
            <family val="2"/>
          </rPr>
          <t>Ruwe schatting want het hangt erg af van het model en voor elektrische auto's weten we het nog nauwelijks.</t>
        </r>
      </text>
    </comment>
    <comment ref="E30" authorId="0">
      <text>
        <r>
          <rPr>
            <sz val="9"/>
            <color indexed="81"/>
            <rFont val="Tahoma"/>
            <family val="2"/>
          </rPr>
          <t>Ruwe schatting want het hangt erg af van het model en voor elektrische auto's weten we het nog nauwelijks.</t>
        </r>
      </text>
    </comment>
    <comment ref="F30" authorId="0">
      <text>
        <r>
          <rPr>
            <sz val="9"/>
            <color indexed="81"/>
            <rFont val="Tahoma"/>
            <family val="2"/>
          </rPr>
          <t>Ruwe schatting want het hangt erg af van het model en voor elektrische auto's weten we het nog nauwelijks.</t>
        </r>
      </text>
    </comment>
    <comment ref="G30" authorId="0">
      <text>
        <r>
          <rPr>
            <sz val="9"/>
            <color indexed="81"/>
            <rFont val="Tahoma"/>
            <family val="2"/>
          </rPr>
          <t>Ruwe schatting want het hangt erg af van het model en voor elektrische auto's weten we het nog nauwelijks.</t>
        </r>
      </text>
    </comment>
    <comment ref="H30" authorId="0">
      <text>
        <r>
          <rPr>
            <sz val="9"/>
            <color indexed="81"/>
            <rFont val="Tahoma"/>
            <family val="2"/>
          </rPr>
          <t>Ruwe schatting want het hangt erg af van het model en voor elektrische auto's weten we het nog nauwelijks.</t>
        </r>
      </text>
    </comment>
    <comment ref="A32" authorId="0">
      <text>
        <r>
          <rPr>
            <sz val="9"/>
            <color indexed="81"/>
            <rFont val="Tahoma"/>
            <family val="2"/>
          </rPr>
          <t>Om het overzichtelijk te houden is per post direct het netto effect berekend.</t>
        </r>
      </text>
    </comment>
    <comment ref="B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C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D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E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F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G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H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B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C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D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E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F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G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H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B39" authorId="0">
      <text>
        <r>
          <rPr>
            <sz val="9"/>
            <color indexed="81"/>
            <rFont val="Tahoma"/>
            <family val="2"/>
          </rPr>
          <t>Het VAMIL voordeel hangt van ondermeer de rentevoet en de afschrijvingstermijn af maar volgens agentschap.nl (en die gaan over de VAMIL) is het gemiddeld 3% van de investering. Die benadering hebben we hier ingevuld.
Zie www.agentschap.nl en zoek op rekenvoorbeelden vamil.</t>
        </r>
      </text>
    </comment>
  </commentList>
</comments>
</file>

<file path=xl/comments2.xml><?xml version="1.0" encoding="utf-8"?>
<comments xmlns="http://schemas.openxmlformats.org/spreadsheetml/2006/main">
  <authors>
    <author>Auke</author>
  </authors>
  <commentList>
    <comment ref="A6" authorId="0">
      <text>
        <r>
          <rPr>
            <sz val="9"/>
            <color indexed="81"/>
            <rFont val="Tahoma"/>
            <family val="2"/>
          </rPr>
          <t>Tel afleverkosten, rijklaar maken en dergelijke erbij op.
Trek de aankoopkorting ervan af.
Het gaat straks niet om het bedrag in de brochure maar om wat u daadwerkelijk hebt betaald.</t>
        </r>
      </text>
    </comment>
    <comment ref="A11" authorId="0">
      <text>
        <r>
          <rPr>
            <sz val="9"/>
            <color indexed="81"/>
            <rFont val="Tahoma"/>
            <family val="2"/>
          </rPr>
          <t>Berekend inclusief BTW.</t>
        </r>
      </text>
    </comment>
    <comment ref="A12" authorId="0">
      <text>
        <r>
          <rPr>
            <sz val="9"/>
            <color indexed="81"/>
            <rFont val="Tahoma"/>
            <family val="2"/>
          </rPr>
          <t>De retwaardeberekening is gemaakt op basis van gemiddelde die in het leasewezen worden gebruikt. (Met dank aan Roel Hinriks Leaseconsult.)
Maar misschien verwacht u dat een bepaalde auto zijn waarde beter of slechter behoudt. Dat kunt u hier invullen.
Wij raden u aan om de restwaarde van een elektriche auto voor de zekerheid op niet meer dan 75% van het gemiddelde voor brandstofauto's te zetten. Sommige experts achten dat overdreven voorzichtig maar anderen gaan zelfs uit van 50%. Dit zult u zelf moeten beslissen.</t>
        </r>
      </text>
    </comment>
    <comment ref="A19" authorId="0">
      <text>
        <r>
          <rPr>
            <sz val="9"/>
            <color indexed="81"/>
            <rFont val="Tahoma"/>
            <family val="2"/>
          </rPr>
          <t>De retwaardeberekening is gemaakt op basis van gemiddelde die in het leasewezen worden gebruikt. (Met dank aan Roel Hinriks Leaseconsult.)</t>
        </r>
      </text>
    </comment>
    <comment ref="C20" authorId="0">
      <text>
        <r>
          <rPr>
            <sz val="9"/>
            <color indexed="81"/>
            <rFont val="Tahoma"/>
            <family val="2"/>
          </rPr>
          <t>De investering min de restwaarde, gedeeld door de looptijd.
De BPM wijkt iets af omdat de belastingdienst daar een vaste rekenmethode voor heeft maar het verschil is gering.</t>
        </r>
      </text>
    </comment>
    <comment ref="D20" authorId="0">
      <text>
        <r>
          <rPr>
            <sz val="9"/>
            <color indexed="81"/>
            <rFont val="Tahoma"/>
            <family val="2"/>
          </rPr>
          <t>De investering min de restwaarde, gedeeld door de looptijd.
De BPM wijkt iets af omdat de belastingdienst daar een vaste rekenmethode voor heeft maar het verschil is gering.</t>
        </r>
      </text>
    </comment>
    <comment ref="E20" authorId="0">
      <text>
        <r>
          <rPr>
            <sz val="9"/>
            <color indexed="81"/>
            <rFont val="Tahoma"/>
            <family val="2"/>
          </rPr>
          <t>De investering min de restwaarde, gedeeld door de looptijd.
De BPM wijkt iets af omdat de belastingdienst daar een vaste rekenmethode voor heeft maar het verschil is gering.</t>
        </r>
      </text>
    </comment>
    <comment ref="F20" authorId="0">
      <text>
        <r>
          <rPr>
            <sz val="9"/>
            <color indexed="81"/>
            <rFont val="Tahoma"/>
            <family val="2"/>
          </rPr>
          <t>De investering min de restwaarde, gedeeld door de looptijd.
De BPM wijkt iets af omdat de belastingdienst daar een vaste rekenmethode voor heeft maar het verschil is gering.</t>
        </r>
      </text>
    </comment>
    <comment ref="G20" authorId="0">
      <text>
        <r>
          <rPr>
            <sz val="9"/>
            <color indexed="81"/>
            <rFont val="Tahoma"/>
            <family val="2"/>
          </rPr>
          <t>De investering min de restwaarde, gedeeld door de looptijd.
De BPM wijkt iets af omdat de belastingdienst daar een vaste rekenmethode voor heeft maar het verschil is gering.</t>
        </r>
      </text>
    </comment>
    <comment ref="H20" authorId="0">
      <text>
        <r>
          <rPr>
            <sz val="9"/>
            <color indexed="81"/>
            <rFont val="Tahoma"/>
            <family val="2"/>
          </rPr>
          <t>De investering min de restwaarde, gedeeld door de looptijd.
De BPM wijkt iets af omdat de belastingdienst daar een vaste rekenmethode voor heeft maar het verschil is gering.</t>
        </r>
      </text>
    </comment>
    <comment ref="I20" authorId="0">
      <text>
        <r>
          <rPr>
            <sz val="9"/>
            <color indexed="81"/>
            <rFont val="Tahoma"/>
            <family val="2"/>
          </rPr>
          <t>De investering min de restwaarde, gedeeld door de looptijd.
De BPM wijkt iets af omdat de belastingdienst daar een vaste rekenmethode voor heeft maar het verschil is gering.</t>
        </r>
      </text>
    </comment>
    <comment ref="J20" authorId="0">
      <text>
        <r>
          <rPr>
            <sz val="9"/>
            <color indexed="81"/>
            <rFont val="Tahoma"/>
            <family val="2"/>
          </rPr>
          <t>De investering min de restwaarde, gedeeld door de looptijd.
De BPM wijkt iets af omdat de belastingdienst daar een vaste rekenmethode voor heeft maar het verschil is gering.</t>
        </r>
      </text>
    </comment>
    <comment ref="K20" authorId="0">
      <text>
        <r>
          <rPr>
            <sz val="9"/>
            <color indexed="81"/>
            <rFont val="Tahoma"/>
            <family val="2"/>
          </rPr>
          <t>De investering min de restwaarde, gedeeld door de looptijd.
De BPM wijkt iets af omdat de belastingdienst daar een vaste rekenmethode voor heeft maar het verschil is gering.</t>
        </r>
      </text>
    </comment>
    <comment ref="C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D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E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F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G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H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I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J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K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C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D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E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F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G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H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I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J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K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C26" authorId="0">
      <text>
        <r>
          <rPr>
            <sz val="9"/>
            <color indexed="81"/>
            <rFont val="Tahoma"/>
            <family val="2"/>
          </rPr>
          <t>Ruwe schatting want het hangt erg af van het model en voor elektrische auto's weten we het nog nauwelijks.</t>
        </r>
      </text>
    </comment>
    <comment ref="D26" authorId="0">
      <text>
        <r>
          <rPr>
            <sz val="9"/>
            <color indexed="81"/>
            <rFont val="Tahoma"/>
            <family val="2"/>
          </rPr>
          <t>Ruwe schatting want het hangt erg af van het model en voor elektrische auto's weten we het nog nauwelijks.</t>
        </r>
      </text>
    </comment>
    <comment ref="E26" authorId="0">
      <text>
        <r>
          <rPr>
            <sz val="9"/>
            <color indexed="81"/>
            <rFont val="Tahoma"/>
            <family val="2"/>
          </rPr>
          <t>Ruwe schatting want het hangt erg af van het model en voor elektrische auto's weten we het nog nauwelijks.</t>
        </r>
      </text>
    </comment>
    <comment ref="F26" authorId="0">
      <text>
        <r>
          <rPr>
            <sz val="9"/>
            <color indexed="81"/>
            <rFont val="Tahoma"/>
            <family val="2"/>
          </rPr>
          <t>Ruwe schatting want het hangt erg af van het model en voor elektrische auto's weten we het nog nauwelijks.</t>
        </r>
      </text>
    </comment>
    <comment ref="G26" authorId="0">
      <text>
        <r>
          <rPr>
            <sz val="9"/>
            <color indexed="81"/>
            <rFont val="Tahoma"/>
            <family val="2"/>
          </rPr>
          <t>Ruwe schatting want het hangt erg af van het model en voor elektrische auto's weten we het nog nauwelijks.</t>
        </r>
      </text>
    </comment>
    <comment ref="H26" authorId="0">
      <text>
        <r>
          <rPr>
            <sz val="9"/>
            <color indexed="81"/>
            <rFont val="Tahoma"/>
            <family val="2"/>
          </rPr>
          <t>Ruwe schatting want het hangt erg af van het model en voor elektrische auto's weten we het nog nauwelijks.</t>
        </r>
      </text>
    </comment>
    <comment ref="I26" authorId="0">
      <text>
        <r>
          <rPr>
            <sz val="9"/>
            <color indexed="81"/>
            <rFont val="Tahoma"/>
            <family val="2"/>
          </rPr>
          <t>Ruwe schatting want het hangt erg af van het model en voor elektrische auto's weten we het nog nauwelijks.</t>
        </r>
      </text>
    </comment>
    <comment ref="J26" authorId="0">
      <text>
        <r>
          <rPr>
            <sz val="9"/>
            <color indexed="81"/>
            <rFont val="Tahoma"/>
            <family val="2"/>
          </rPr>
          <t>Ruwe schatting want het hangt erg af van het model en voor elektrische auto's weten we het nog nauwelijks.</t>
        </r>
      </text>
    </comment>
    <comment ref="K26" authorId="0">
      <text>
        <r>
          <rPr>
            <sz val="9"/>
            <color indexed="81"/>
            <rFont val="Tahoma"/>
            <family val="2"/>
          </rPr>
          <t>Ruwe schatting want het hangt erg af van het model en voor elektrische auto's weten we het nog nauwelijks.</t>
        </r>
      </text>
    </comment>
    <comment ref="B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C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D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E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F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G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H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I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J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K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B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C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D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E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F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G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H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I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J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K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B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C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D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E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F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G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H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I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J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K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B32" authorId="0">
      <text>
        <r>
          <rPr>
            <sz val="9"/>
            <color indexed="81"/>
            <rFont val="Tahoma"/>
            <family val="2"/>
          </rPr>
          <t>De vennootschapsbelasting is 20% bij een belastbare winst tot 2 ton en 25% voor de winst daarboven.</t>
        </r>
      </text>
    </comment>
    <comment ref="C32" authorId="0">
      <text>
        <r>
          <rPr>
            <sz val="9"/>
            <color indexed="81"/>
            <rFont val="Tahoma"/>
            <family val="2"/>
          </rPr>
          <t>De vennootschapsbelasting is 20% bij een belastbare winst tot 2 ton en 25% voor de winst daarboven.</t>
        </r>
      </text>
    </comment>
    <comment ref="D32" authorId="0">
      <text>
        <r>
          <rPr>
            <sz val="9"/>
            <color indexed="81"/>
            <rFont val="Tahoma"/>
            <family val="2"/>
          </rPr>
          <t>De vennootschapsbelasting is 20% bij een belastbare winst tot 2 ton en 25% voor de winst daarboven.</t>
        </r>
      </text>
    </comment>
    <comment ref="E32" authorId="0">
      <text>
        <r>
          <rPr>
            <sz val="9"/>
            <color indexed="81"/>
            <rFont val="Tahoma"/>
            <family val="2"/>
          </rPr>
          <t>De vennootschapsbelasting is 20% bij een belastbare winst tot 2 ton en 25% voor de winst daarboven.</t>
        </r>
      </text>
    </comment>
    <comment ref="F32" authorId="0">
      <text>
        <r>
          <rPr>
            <sz val="9"/>
            <color indexed="81"/>
            <rFont val="Tahoma"/>
            <family val="2"/>
          </rPr>
          <t>De vennootschapsbelasting is 20% bij een belastbare winst tot 2 ton en 25% voor de winst daarboven.</t>
        </r>
      </text>
    </comment>
    <comment ref="G32" authorId="0">
      <text>
        <r>
          <rPr>
            <sz val="9"/>
            <color indexed="81"/>
            <rFont val="Tahoma"/>
            <family val="2"/>
          </rPr>
          <t>De vennootschapsbelasting is 20% bij een belastbare winst tot 2 ton en 25% voor de winst daarboven.</t>
        </r>
      </text>
    </comment>
    <comment ref="H32" authorId="0">
      <text>
        <r>
          <rPr>
            <sz val="9"/>
            <color indexed="81"/>
            <rFont val="Tahoma"/>
            <family val="2"/>
          </rPr>
          <t>De vennootschapsbelasting is 20% bij een belastbare winst tot 2 ton en 25% voor de winst daarboven.</t>
        </r>
      </text>
    </comment>
    <comment ref="I32" authorId="0">
      <text>
        <r>
          <rPr>
            <sz val="9"/>
            <color indexed="81"/>
            <rFont val="Tahoma"/>
            <family val="2"/>
          </rPr>
          <t>De vennootschapsbelasting is 20% bij een belastbare winst tot 2 ton en 25% voor de winst daarboven.</t>
        </r>
      </text>
    </comment>
    <comment ref="J32" authorId="0">
      <text>
        <r>
          <rPr>
            <sz val="9"/>
            <color indexed="81"/>
            <rFont val="Tahoma"/>
            <family val="2"/>
          </rPr>
          <t>De vennootschapsbelasting is 20% bij een belastbare winst tot 2 ton en 25% voor de winst daarboven.</t>
        </r>
      </text>
    </comment>
    <comment ref="K32" authorId="0">
      <text>
        <r>
          <rPr>
            <sz val="9"/>
            <color indexed="81"/>
            <rFont val="Tahoma"/>
            <family val="2"/>
          </rPr>
          <t>De vennootschapsbelasting is 20% bij een belastbare winst tot 2 ton en 25% voor de winst daarboven.</t>
        </r>
      </text>
    </comment>
    <comment ref="A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B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C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D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E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F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G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H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I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J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K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B39" authorId="0">
      <text>
        <r>
          <rPr>
            <sz val="9"/>
            <color indexed="81"/>
            <rFont val="Tahoma"/>
            <family val="2"/>
          </rPr>
          <t>Nadat van de belastbare winst de autokosten, MIA en KIA zijn afgetrokken blijft een nieuw getal over. Daarvan nemen we het percentage wat bij C30 is ingevuld).</t>
        </r>
      </text>
    </comment>
    <comment ref="C39" authorId="0">
      <text>
        <r>
          <rPr>
            <sz val="9"/>
            <color indexed="81"/>
            <rFont val="Tahoma"/>
            <family val="2"/>
          </rPr>
          <t>Nadat van de belastbare winst de autokosten, MIA en KIA zijn afgetrokken blijft een nieuw getal over. Daarvan nemen we het percentage wat bij C30 is ingevuld).</t>
        </r>
      </text>
    </comment>
    <comment ref="D39" authorId="0">
      <text>
        <r>
          <rPr>
            <sz val="9"/>
            <color indexed="81"/>
            <rFont val="Tahoma"/>
            <family val="2"/>
          </rPr>
          <t>Nadat van de belastbare winst de autokosten, MIA en KIA zijn afgetrokken blijft een nieuw getal over. Daarvan nemen we het percentage wat bij C30 is ingevuld).</t>
        </r>
      </text>
    </comment>
    <comment ref="E39" authorId="0">
      <text>
        <r>
          <rPr>
            <sz val="9"/>
            <color indexed="81"/>
            <rFont val="Tahoma"/>
            <family val="2"/>
          </rPr>
          <t>Nadat van de belastbare winst de autokosten, MIA en KIA zijn afgetrokken blijft een nieuw getal over. Daarvan nemen we het percentage wat bij C30 is ingevuld).</t>
        </r>
      </text>
    </comment>
    <comment ref="F39" authorId="0">
      <text>
        <r>
          <rPr>
            <sz val="9"/>
            <color indexed="81"/>
            <rFont val="Tahoma"/>
            <family val="2"/>
          </rPr>
          <t>Nadat van de belastbare winst de autokosten, MIA en KIA zijn afgetrokken blijft een nieuw getal over. Daarvan nemen we het percentage wat bij C30 is ingevuld).</t>
        </r>
      </text>
    </comment>
    <comment ref="G39" authorId="0">
      <text>
        <r>
          <rPr>
            <sz val="9"/>
            <color indexed="81"/>
            <rFont val="Tahoma"/>
            <family val="2"/>
          </rPr>
          <t>Nadat van de belastbare winst de autokosten, MIA en KIA zijn afgetrokken blijft een nieuw getal over. Daarvan nemen we het percentage wat bij C30 is ingevuld).</t>
        </r>
      </text>
    </comment>
    <comment ref="H39" authorId="0">
      <text>
        <r>
          <rPr>
            <sz val="9"/>
            <color indexed="81"/>
            <rFont val="Tahoma"/>
            <family val="2"/>
          </rPr>
          <t>Nadat van de belastbare winst de autokosten, MIA en KIA zijn afgetrokken blijft een nieuw getal over. Daarvan nemen we het percentage wat bij C30 is ingevuld).</t>
        </r>
      </text>
    </comment>
    <comment ref="I39" authorId="0">
      <text>
        <r>
          <rPr>
            <sz val="9"/>
            <color indexed="81"/>
            <rFont val="Tahoma"/>
            <family val="2"/>
          </rPr>
          <t>Nadat van de belastbare winst de autokosten, MIA en KIA zijn afgetrokken blijft een nieuw getal over. Daarvan nemen we het percentage wat bij C30 is ingevuld).</t>
        </r>
      </text>
    </comment>
    <comment ref="J39" authorId="0">
      <text>
        <r>
          <rPr>
            <sz val="9"/>
            <color indexed="81"/>
            <rFont val="Tahoma"/>
            <family val="2"/>
          </rPr>
          <t>Nadat van de belastbare winst de autokosten, MIA en KIA zijn afgetrokken blijft een nieuw getal over. Daarvan nemen we het percentage wat bij C30 is ingevuld).</t>
        </r>
      </text>
    </comment>
    <comment ref="K39" authorId="0">
      <text>
        <r>
          <rPr>
            <sz val="9"/>
            <color indexed="81"/>
            <rFont val="Tahoma"/>
            <family val="2"/>
          </rPr>
          <t>Nadat van de belastbare winst de autokosten, MIA en KIA zijn afgetrokken blijft een nieuw getal over. Daarvan nemen we het percentage wat bij C30 is ingevuld).</t>
        </r>
      </text>
    </comment>
  </commentList>
</comments>
</file>

<file path=xl/sharedStrings.xml><?xml version="1.0" encoding="utf-8"?>
<sst xmlns="http://schemas.openxmlformats.org/spreadsheetml/2006/main" count="170" uniqueCount="101">
  <si>
    <t>BTW</t>
  </si>
  <si>
    <t>Verzekering</t>
  </si>
  <si>
    <t>Wegenbelasting</t>
  </si>
  <si>
    <t>Benzine</t>
  </si>
  <si>
    <t>Diesel</t>
  </si>
  <si>
    <t>LPG</t>
  </si>
  <si>
    <t>PHEV</t>
  </si>
  <si>
    <t>Elektriciteit</t>
  </si>
  <si>
    <t>Energiedrager</t>
  </si>
  <si>
    <t>Particulier</t>
  </si>
  <si>
    <t>Leaseauto</t>
  </si>
  <si>
    <t>Eenmanszaak</t>
  </si>
  <si>
    <t>Ja</t>
  </si>
  <si>
    <t>Nee</t>
  </si>
  <si>
    <t>Fiscaal regime</t>
  </si>
  <si>
    <t>Aankoopkorting</t>
  </si>
  <si>
    <t>Bijtellingspercentage</t>
  </si>
  <si>
    <t>Merk</t>
  </si>
  <si>
    <t>Type</t>
  </si>
  <si>
    <t>Gegevens over de auto</t>
  </si>
  <si>
    <t>Gegevens over u</t>
  </si>
  <si>
    <t>Gegevens over gebruik</t>
  </si>
  <si>
    <t>Kilometers per jaar</t>
  </si>
  <si>
    <t>Berekende waarden</t>
  </si>
  <si>
    <t>Energiekosten per kilometer</t>
  </si>
  <si>
    <t>Looptijd in maanden</t>
  </si>
  <si>
    <t>Afschrijving per maand</t>
  </si>
  <si>
    <t>Energiegebruik per 100 km</t>
  </si>
  <si>
    <t>Energiekosten (per liter of kWh)</t>
  </si>
  <si>
    <t>Gewicht</t>
  </si>
  <si>
    <t>LPG3/aardgas</t>
  </si>
  <si>
    <t>Reparatie en onderhoud</t>
  </si>
  <si>
    <t>Energiekosten</t>
  </si>
  <si>
    <t>Inkomensbijtelling gebruiker</t>
  </si>
  <si>
    <t>BTW-privé correctie gebruiker</t>
  </si>
  <si>
    <t>Aftrek MIA voor onderneming</t>
  </si>
  <si>
    <t>Totale kosten (TCO) per maand</t>
  </si>
  <si>
    <t>Berekende fiscale effecten</t>
  </si>
  <si>
    <t>Afschrijving over de looptijd</t>
  </si>
  <si>
    <t>Aftrek maandlasten onderneming</t>
  </si>
  <si>
    <t>Samen kunnen we dit model perfect maken!</t>
  </si>
  <si>
    <t>Tesla</t>
  </si>
  <si>
    <t>Model S</t>
  </si>
  <si>
    <t>BMW</t>
  </si>
  <si>
    <t>M5</t>
  </si>
  <si>
    <t>Volkswagen</t>
  </si>
  <si>
    <t>Golf</t>
  </si>
  <si>
    <t>Nissan</t>
  </si>
  <si>
    <t>Leaf</t>
  </si>
  <si>
    <t>Twizy</t>
  </si>
  <si>
    <t>Renault</t>
  </si>
  <si>
    <t xml:space="preserve">Deze opzet kan onjuistheden bevatten. </t>
  </si>
  <si>
    <t>Wij zijn daarvoor niet aansprakelijk.</t>
  </si>
  <si>
    <t>Of laat commentaar achter op de blogpost</t>
  </si>
  <si>
    <t>Opel</t>
  </si>
  <si>
    <t>Ampera</t>
  </si>
  <si>
    <t>Stuur op- en aanmerkingen aan auke@aukehoekstra.nl</t>
  </si>
  <si>
    <t>Belastingdruk</t>
  </si>
  <si>
    <t>Consumentenprijs incl. BTW</t>
  </si>
  <si>
    <t>Meerkosten incl. BTW</t>
  </si>
  <si>
    <t>Aanschafkosten excl. BTW</t>
  </si>
  <si>
    <t>Restwaarde excl. BTW</t>
  </si>
  <si>
    <t>Bruto maandlasten excl BTW</t>
  </si>
  <si>
    <t>Rentekosten (bij 5,5% rente)</t>
  </si>
  <si>
    <t>Restwaarde tov de norm</t>
  </si>
  <si>
    <t>Belastingdruk privé inkomen</t>
  </si>
  <si>
    <t>Venootschapsbelasting</t>
  </si>
  <si>
    <t>Gegevens over uw BV</t>
  </si>
  <si>
    <t>DGA salaris als perc. van de winst</t>
  </si>
  <si>
    <t>Dividend</t>
  </si>
  <si>
    <t>Winst voor belasting, salaris en auto</t>
  </si>
  <si>
    <t>Geen</t>
  </si>
  <si>
    <t>Auto</t>
  </si>
  <si>
    <t>Niet</t>
  </si>
  <si>
    <t>weghalen!</t>
  </si>
  <si>
    <t>Totale kosten over de looptijd (excl.)</t>
  </si>
  <si>
    <t>Blijft over als belastbare winst</t>
  </si>
  <si>
    <t>Vennootschapsbelasting</t>
  </si>
  <si>
    <t>DGA inkomen</t>
  </si>
  <si>
    <t>Autokosten</t>
  </si>
  <si>
    <t>MIA</t>
  </si>
  <si>
    <t>Inkomen en vennootschapsbelasting</t>
  </si>
  <si>
    <t>Eigen vermogen BV en dividend</t>
  </si>
  <si>
    <t>Toename vermogen BV voor dividend</t>
  </si>
  <si>
    <t>Verdiensten in privé</t>
  </si>
  <si>
    <t>Inkomstenbelasting</t>
  </si>
  <si>
    <t>Dividendbelasting</t>
  </si>
  <si>
    <t>Netto inkomen</t>
  </si>
  <si>
    <t>Netto dividend</t>
  </si>
  <si>
    <t>Tot verdiensten (ink+dividend+verm)</t>
  </si>
  <si>
    <t>Dus: netto kosten van de auto</t>
  </si>
  <si>
    <t>Dus: netto autokosten per maand</t>
  </si>
  <si>
    <t>Toename vermogen BV na dividend</t>
  </si>
  <si>
    <t>Dividend als % verm.toename</t>
  </si>
  <si>
    <t>Aftrek KIA is afgeschaft voor auto's</t>
  </si>
  <si>
    <t>Rentevoordeel VAMIL, is afgechaft voor auto's</t>
  </si>
  <si>
    <t>KIA is afgeschaft voor auto's</t>
  </si>
  <si>
    <t>BTW prive correctie 2,7%</t>
  </si>
  <si>
    <t>Auteur: Auke Hoekstra, update Maarten Steinbuch</t>
  </si>
  <si>
    <t>Versie van 27 sept 2013</t>
  </si>
  <si>
    <t>Rentevoordeel MIA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</si>
</sst>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quot;€&quot;\ #,##0"/>
    <numFmt numFmtId="166"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color rgb="FFFFFFFF"/>
      <name val="Calibri"/>
      <family val="2"/>
      <scheme val="minor"/>
    </font>
    <font>
      <sz val="11"/>
      <color rgb="FFFFFFFF"/>
      <name val="Calibri"/>
      <family val="2"/>
      <scheme val="minor"/>
    </font>
    <font>
      <b/>
      <sz val="22"/>
      <color rgb="FFFFFFFF"/>
      <name val="Calibri"/>
      <family val="2"/>
      <scheme val="minor"/>
    </font>
    <font>
      <u/>
      <sz val="11"/>
      <color theme="10"/>
      <name val="Calibri"/>
      <family val="2"/>
      <scheme val="minor"/>
    </font>
    <font>
      <b/>
      <sz val="11"/>
      <color theme="0"/>
      <name val="Calibri"/>
      <family val="2"/>
      <scheme val="minor"/>
    </font>
    <font>
      <sz val="11"/>
      <name val="Calibri"/>
      <family val="2"/>
      <scheme val="minor"/>
    </font>
    <font>
      <u/>
      <sz val="11"/>
      <color theme="11"/>
      <name val="Calibri"/>
      <family val="2"/>
      <scheme val="minor"/>
    </font>
    <font>
      <sz val="8"/>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rgb="FFA7FFA7"/>
        <bgColor indexed="64"/>
      </patternFill>
    </fill>
    <fill>
      <patternFill patternType="solid">
        <fgColor rgb="FF0070C0"/>
        <bgColor indexed="64"/>
      </patternFill>
    </fill>
  </fills>
  <borders count="1">
    <border>
      <left/>
      <right/>
      <top/>
      <bottom/>
      <diagonal/>
    </border>
  </borders>
  <cellStyleXfs count="15">
    <xf numFmtId="0" fontId="0" fillId="0" borderId="0"/>
    <xf numFmtId="0" fontId="1" fillId="0" borderId="0"/>
    <xf numFmtId="0" fontId="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3">
    <xf numFmtId="0" fontId="0" fillId="0" borderId="0" xfId="0"/>
    <xf numFmtId="9" fontId="0" fillId="0" borderId="0" xfId="0" applyNumberFormat="1"/>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65" fontId="2" fillId="3" borderId="0" xfId="1" applyNumberFormat="1" applyFont="1" applyFill="1" applyBorder="1" applyAlignment="1" applyProtection="1">
      <alignment horizontal="center"/>
      <protection locked="0"/>
    </xf>
    <xf numFmtId="165" fontId="1" fillId="3" borderId="0" xfId="1" applyNumberFormat="1" applyFont="1" applyFill="1" applyBorder="1" applyAlignment="1" applyProtection="1">
      <alignment horizontal="center"/>
      <protection locked="0"/>
    </xf>
    <xf numFmtId="9" fontId="1" fillId="3" borderId="0" xfId="1" applyNumberFormat="1" applyFont="1" applyFill="1" applyBorder="1" applyAlignment="1" applyProtection="1">
      <alignment horizontal="center"/>
      <protection locked="0"/>
    </xf>
    <xf numFmtId="0" fontId="1" fillId="3" borderId="0" xfId="1" applyFont="1" applyFill="1" applyBorder="1" applyAlignment="1" applyProtection="1">
      <alignment horizontal="center"/>
      <protection locked="0"/>
    </xf>
    <xf numFmtId="166" fontId="0" fillId="3" borderId="0" xfId="0" applyNumberFormat="1" applyFill="1" applyBorder="1" applyAlignment="1" applyProtection="1">
      <alignment horizontal="center"/>
      <protection locked="0"/>
    </xf>
    <xf numFmtId="0" fontId="0" fillId="5" borderId="0" xfId="0" applyFill="1" applyAlignment="1" applyProtection="1">
      <alignment horizontal="center"/>
      <protection locked="0"/>
    </xf>
    <xf numFmtId="0" fontId="0" fillId="3" borderId="0" xfId="0" applyFill="1" applyAlignment="1" applyProtection="1">
      <alignment horizontal="center"/>
      <protection locked="0"/>
    </xf>
    <xf numFmtId="3" fontId="0" fillId="3" borderId="0" xfId="0" applyNumberFormat="1" applyFill="1" applyAlignment="1" applyProtection="1">
      <alignment horizontal="center"/>
      <protection locked="0"/>
    </xf>
    <xf numFmtId="0" fontId="5" fillId="5" borderId="0" xfId="0" applyFont="1" applyFill="1" applyAlignment="1" applyProtection="1">
      <alignment horizontal="center"/>
      <protection locked="0"/>
    </xf>
    <xf numFmtId="0" fontId="1" fillId="3" borderId="0" xfId="1" applyFont="1" applyFill="1" applyAlignment="1" applyProtection="1">
      <alignment horizontal="center"/>
      <protection locked="0"/>
    </xf>
    <xf numFmtId="9" fontId="1" fillId="3" borderId="0" xfId="1" applyNumberFormat="1" applyFont="1" applyFill="1" applyAlignment="1" applyProtection="1">
      <alignment horizontal="center"/>
      <protection locked="0"/>
    </xf>
    <xf numFmtId="0" fontId="4" fillId="5" borderId="0" xfId="0" applyFont="1" applyFill="1" applyBorder="1" applyAlignment="1" applyProtection="1">
      <alignment horizontal="right"/>
      <protection locked="0"/>
    </xf>
    <xf numFmtId="0" fontId="0" fillId="5" borderId="0" xfId="0" applyFill="1" applyBorder="1" applyAlignment="1" applyProtection="1">
      <alignment horizontal="right"/>
      <protection locked="0"/>
    </xf>
    <xf numFmtId="0" fontId="0" fillId="0" borderId="0" xfId="0" applyProtection="1">
      <protection locked="0"/>
    </xf>
    <xf numFmtId="0" fontId="0" fillId="3" borderId="0" xfId="0" applyFill="1" applyBorder="1" applyAlignment="1" applyProtection="1">
      <alignment horizontal="right"/>
      <protection locked="0"/>
    </xf>
    <xf numFmtId="0" fontId="0" fillId="3" borderId="0" xfId="1" applyFont="1" applyFill="1" applyBorder="1" applyAlignment="1" applyProtection="1">
      <alignment horizontal="right"/>
      <protection locked="0"/>
    </xf>
    <xf numFmtId="0" fontId="1" fillId="0" borderId="0" xfId="1" applyProtection="1">
      <protection locked="0"/>
    </xf>
    <xf numFmtId="0" fontId="4" fillId="5" borderId="0" xfId="1" applyFont="1" applyFill="1" applyAlignment="1" applyProtection="1">
      <alignment horizontal="right"/>
      <protection locked="0"/>
    </xf>
    <xf numFmtId="0" fontId="0" fillId="3" borderId="0" xfId="1" applyFont="1" applyFill="1" applyAlignment="1" applyProtection="1">
      <alignment horizontal="right"/>
      <protection locked="0"/>
    </xf>
    <xf numFmtId="0" fontId="4" fillId="2" borderId="0" xfId="1" applyFont="1" applyFill="1" applyAlignment="1" applyProtection="1">
      <alignment horizontal="right"/>
      <protection locked="0"/>
    </xf>
    <xf numFmtId="165" fontId="5" fillId="2" borderId="0" xfId="0" applyNumberFormat="1" applyFont="1" applyFill="1" applyAlignment="1" applyProtection="1">
      <alignment horizontal="center"/>
      <protection locked="0"/>
    </xf>
    <xf numFmtId="0" fontId="0" fillId="4" borderId="0" xfId="1" applyFont="1" applyFill="1" applyAlignment="1" applyProtection="1">
      <alignment horizontal="right"/>
      <protection locked="0"/>
    </xf>
    <xf numFmtId="165" fontId="1" fillId="4" borderId="0" xfId="1" applyNumberFormat="1" applyFill="1" applyAlignment="1" applyProtection="1">
      <alignment horizontal="center"/>
      <protection locked="0"/>
    </xf>
    <xf numFmtId="0" fontId="1" fillId="4" borderId="0" xfId="1" applyFont="1" applyFill="1" applyAlignment="1" applyProtection="1">
      <alignment horizontal="right"/>
      <protection locked="0"/>
    </xf>
    <xf numFmtId="165" fontId="0" fillId="4" borderId="0" xfId="0" applyNumberFormat="1" applyFill="1" applyAlignment="1" applyProtection="1">
      <alignment horizontal="center"/>
      <protection locked="0"/>
    </xf>
    <xf numFmtId="166" fontId="0" fillId="4" borderId="0" xfId="0" applyNumberFormat="1" applyFill="1" applyAlignment="1" applyProtection="1">
      <alignment horizontal="center"/>
      <protection locked="0"/>
    </xf>
    <xf numFmtId="165" fontId="4" fillId="2" borderId="0" xfId="0" applyNumberFormat="1" applyFont="1" applyFill="1" applyAlignment="1" applyProtection="1">
      <alignment horizontal="center"/>
      <protection locked="0"/>
    </xf>
    <xf numFmtId="164" fontId="0" fillId="4" borderId="0" xfId="0" applyNumberFormat="1" applyFill="1" applyAlignment="1" applyProtection="1">
      <alignment horizontal="center"/>
      <protection locked="0"/>
    </xf>
    <xf numFmtId="0" fontId="4" fillId="2" borderId="0" xfId="1" applyFont="1" applyFill="1" applyAlignment="1" applyProtection="1">
      <alignment vertical="center"/>
      <protection locked="0"/>
    </xf>
    <xf numFmtId="165" fontId="6" fillId="2" borderId="0" xfId="0" applyNumberFormat="1" applyFont="1" applyFill="1" applyAlignment="1" applyProtection="1">
      <alignment horizontal="center"/>
      <protection locked="0"/>
    </xf>
    <xf numFmtId="0" fontId="0" fillId="0" borderId="0" xfId="1" applyFont="1" applyAlignment="1" applyProtection="1">
      <alignment horizontal="center" vertical="center"/>
      <protection locked="0"/>
    </xf>
    <xf numFmtId="0" fontId="7" fillId="0" borderId="0" xfId="2" applyAlignment="1" applyProtection="1">
      <alignment horizontal="center" vertical="center"/>
      <protection locked="0"/>
    </xf>
    <xf numFmtId="0" fontId="1" fillId="0" borderId="0" xfId="1" applyAlignment="1" applyProtection="1">
      <alignment horizontal="right"/>
      <protection locked="0"/>
    </xf>
    <xf numFmtId="165" fontId="1" fillId="0" borderId="0" xfId="1" applyNumberFormat="1" applyAlignment="1" applyProtection="1">
      <alignment horizontal="right"/>
      <protection locked="0"/>
    </xf>
    <xf numFmtId="3" fontId="1" fillId="0" borderId="0" xfId="1" applyNumberFormat="1" applyAlignment="1" applyProtection="1">
      <alignment horizontal="left"/>
      <protection locked="0"/>
    </xf>
    <xf numFmtId="3" fontId="1" fillId="0" borderId="0" xfId="1" applyNumberFormat="1" applyAlignment="1" applyProtection="1">
      <alignment horizontal="right"/>
      <protection locked="0"/>
    </xf>
    <xf numFmtId="0" fontId="0" fillId="0" borderId="0" xfId="1" applyFont="1" applyBorder="1" applyAlignment="1" applyProtection="1">
      <alignment horizontal="center" vertical="center"/>
      <protection locked="0"/>
    </xf>
    <xf numFmtId="0" fontId="0" fillId="0" borderId="0" xfId="1" applyFont="1" applyAlignment="1" applyProtection="1">
      <alignment vertical="center"/>
      <protection locked="0"/>
    </xf>
    <xf numFmtId="0" fontId="0" fillId="0" borderId="0" xfId="0" applyAlignment="1"/>
    <xf numFmtId="0" fontId="2" fillId="0" borderId="0" xfId="1" applyFont="1" applyAlignment="1" applyProtection="1">
      <alignment vertical="center"/>
      <protection locked="0"/>
    </xf>
    <xf numFmtId="0" fontId="0" fillId="0" borderId="0" xfId="1" applyFont="1" applyBorder="1" applyAlignment="1" applyProtection="1">
      <alignment vertical="center"/>
      <protection locked="0"/>
    </xf>
    <xf numFmtId="0" fontId="0" fillId="0" borderId="0" xfId="1" applyFont="1" applyBorder="1" applyAlignment="1" applyProtection="1">
      <alignment horizontal="left" vertical="center"/>
      <protection locked="0"/>
    </xf>
    <xf numFmtId="0" fontId="0" fillId="0" borderId="0" xfId="0" applyAlignment="1" applyProtection="1">
      <alignment horizontal="left"/>
      <protection locked="0"/>
    </xf>
    <xf numFmtId="0" fontId="0" fillId="0" borderId="0" xfId="1" applyFont="1" applyAlignment="1" applyProtection="1">
      <alignment horizontal="left" vertical="center"/>
      <protection locked="0"/>
    </xf>
    <xf numFmtId="0" fontId="0" fillId="0" borderId="0" xfId="0" applyAlignment="1">
      <alignment horizontal="left"/>
    </xf>
    <xf numFmtId="0" fontId="7" fillId="0" borderId="0" xfId="2" applyAlignment="1" applyProtection="1">
      <alignment horizontal="left" vertical="center"/>
      <protection locked="0"/>
    </xf>
    <xf numFmtId="0" fontId="2" fillId="0" borderId="0" xfId="1" applyFont="1" applyAlignment="1" applyProtection="1">
      <alignment horizontal="left" vertical="center"/>
      <protection locked="0"/>
    </xf>
    <xf numFmtId="0" fontId="0" fillId="3" borderId="0" xfId="1" applyFont="1" applyFill="1" applyBorder="1" applyAlignment="1" applyProtection="1">
      <alignment horizontal="center"/>
      <protection locked="0"/>
    </xf>
    <xf numFmtId="9" fontId="0" fillId="3" borderId="0" xfId="0" applyNumberFormat="1" applyFill="1" applyBorder="1" applyAlignment="1" applyProtection="1">
      <alignment horizontal="center"/>
      <protection locked="0"/>
    </xf>
    <xf numFmtId="165" fontId="0" fillId="4" borderId="0" xfId="0" applyNumberFormat="1" applyFill="1"/>
    <xf numFmtId="165" fontId="0" fillId="4" borderId="0" xfId="0" applyNumberFormat="1" applyFill="1" applyAlignment="1">
      <alignment horizontal="center"/>
    </xf>
    <xf numFmtId="0" fontId="0" fillId="2" borderId="0" xfId="0" applyFill="1"/>
    <xf numFmtId="0" fontId="2" fillId="3" borderId="0" xfId="1" applyFont="1" applyFill="1" applyBorder="1" applyAlignment="1" applyProtection="1">
      <alignment horizontal="center"/>
      <protection locked="0"/>
    </xf>
    <xf numFmtId="165" fontId="1" fillId="4" borderId="0" xfId="1" applyNumberFormat="1" applyFill="1" applyAlignment="1" applyProtection="1">
      <alignment horizontal="left"/>
      <protection locked="0"/>
    </xf>
    <xf numFmtId="165" fontId="0" fillId="4" borderId="0" xfId="0" applyNumberFormat="1" applyFill="1" applyAlignment="1">
      <alignment horizontal="left"/>
    </xf>
    <xf numFmtId="165" fontId="0" fillId="4" borderId="0" xfId="0" applyNumberFormat="1" applyFill="1" applyAlignment="1" applyProtection="1">
      <alignment horizontal="right"/>
      <protection locked="0"/>
    </xf>
    <xf numFmtId="164" fontId="0" fillId="4" borderId="0" xfId="0" applyNumberFormat="1" applyFill="1" applyAlignment="1" applyProtection="1">
      <alignment horizontal="right"/>
      <protection locked="0"/>
    </xf>
    <xf numFmtId="166" fontId="0" fillId="4" borderId="0" xfId="0" applyNumberFormat="1" applyFill="1" applyAlignment="1" applyProtection="1">
      <alignment horizontal="left"/>
      <protection locked="0"/>
    </xf>
    <xf numFmtId="0" fontId="8" fillId="5" borderId="0" xfId="1" applyFont="1" applyFill="1" applyAlignment="1" applyProtection="1">
      <alignment horizontal="right"/>
      <protection locked="0"/>
    </xf>
    <xf numFmtId="0" fontId="8" fillId="5" borderId="0" xfId="0" applyFont="1" applyFill="1"/>
    <xf numFmtId="165" fontId="8" fillId="5" borderId="0" xfId="0" applyNumberFormat="1" applyFont="1" applyFill="1"/>
    <xf numFmtId="0" fontId="8" fillId="2" borderId="0" xfId="1" applyFont="1" applyFill="1" applyAlignment="1" applyProtection="1">
      <alignment horizontal="right"/>
      <protection locked="0"/>
    </xf>
    <xf numFmtId="0" fontId="8" fillId="2" borderId="0" xfId="0" applyFont="1" applyFill="1"/>
    <xf numFmtId="165" fontId="8" fillId="2" borderId="0" xfId="0" applyNumberFormat="1" applyFont="1" applyFill="1"/>
    <xf numFmtId="0" fontId="9" fillId="4" borderId="0" xfId="1" applyFont="1" applyFill="1" applyAlignment="1" applyProtection="1">
      <alignment horizontal="right"/>
      <protection locked="0"/>
    </xf>
    <xf numFmtId="165" fontId="4" fillId="2" borderId="0" xfId="0" applyNumberFormat="1" applyFont="1" applyFill="1" applyAlignment="1" applyProtection="1">
      <alignment horizontal="right"/>
      <protection locked="0"/>
    </xf>
    <xf numFmtId="9" fontId="0" fillId="3" borderId="0" xfId="0" applyNumberFormat="1" applyFill="1" applyAlignment="1">
      <alignment horizontal="right"/>
    </xf>
    <xf numFmtId="9" fontId="1" fillId="3" borderId="0" xfId="1" applyNumberFormat="1" applyFont="1" applyFill="1" applyAlignment="1" applyProtection="1">
      <alignment horizontal="right"/>
      <protection locked="0"/>
    </xf>
    <xf numFmtId="165" fontId="0" fillId="3" borderId="0" xfId="0" applyNumberFormat="1" applyFill="1" applyAlignment="1">
      <alignment horizontal="right"/>
    </xf>
  </cellXfs>
  <cellStyles count="15">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Hyperlink" xfId="2" builtinId="8"/>
    <cellStyle name="Normal 6" xfId="1"/>
    <cellStyle name="Stand." xfId="0" builtinId="0"/>
  </cellStyles>
  <dxfs count="0"/>
  <tableStyles count="0" defaultTableStyle="TableStyleMedium2" defaultPivotStyle="PivotStyleLight16"/>
  <colors>
    <mruColors>
      <color rgb="FFA7FFA7"/>
      <color rgb="FFD3CDFF"/>
      <color rgb="FFC1C1FF"/>
      <color rgb="FFFFFFFF"/>
      <color rgb="FFA7BCFF"/>
      <color rgb="FF7D9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AA58"/>
  <sheetViews>
    <sheetView tabSelected="1" workbookViewId="0">
      <selection sqref="A1:E40"/>
    </sheetView>
  </sheetViews>
  <sheetFormatPr baseColWidth="10" defaultColWidth="8.83203125" defaultRowHeight="15" x14ac:dyDescent="0.2"/>
  <cols>
    <col min="1" max="1" width="28.5" style="20" customWidth="1"/>
    <col min="2" max="2" width="18.1640625" style="36" customWidth="1"/>
    <col min="3" max="13" width="18.1640625" style="17" customWidth="1"/>
    <col min="14" max="22" width="19.5" style="17" customWidth="1"/>
    <col min="23" max="27" width="8.83203125" style="17"/>
    <col min="28" max="16384" width="8.83203125" style="20"/>
  </cols>
  <sheetData>
    <row r="1" spans="1:8" s="17" customFormat="1" x14ac:dyDescent="0.2">
      <c r="A1" s="15" t="s">
        <v>19</v>
      </c>
      <c r="B1" s="16"/>
      <c r="C1" s="16"/>
      <c r="D1" s="16"/>
      <c r="E1" s="16"/>
      <c r="F1" s="16"/>
      <c r="G1" s="16"/>
      <c r="H1" s="16"/>
    </row>
    <row r="2" spans="1:8" s="17" customFormat="1" x14ac:dyDescent="0.2">
      <c r="A2" s="18" t="s">
        <v>17</v>
      </c>
      <c r="B2" s="2" t="s">
        <v>50</v>
      </c>
      <c r="C2" s="2" t="s">
        <v>47</v>
      </c>
      <c r="D2" s="2" t="s">
        <v>54</v>
      </c>
      <c r="E2" s="2" t="s">
        <v>41</v>
      </c>
      <c r="F2" s="2" t="s">
        <v>45</v>
      </c>
      <c r="G2" s="2" t="s">
        <v>43</v>
      </c>
      <c r="H2" s="2" t="s">
        <v>43</v>
      </c>
    </row>
    <row r="3" spans="1:8" s="17" customFormat="1" x14ac:dyDescent="0.2">
      <c r="A3" s="18" t="s">
        <v>18</v>
      </c>
      <c r="B3" s="2" t="s">
        <v>49</v>
      </c>
      <c r="C3" s="2" t="s">
        <v>48</v>
      </c>
      <c r="D3" s="2" t="s">
        <v>55</v>
      </c>
      <c r="E3" s="2" t="s">
        <v>42</v>
      </c>
      <c r="F3" s="2" t="s">
        <v>46</v>
      </c>
      <c r="G3" s="2" t="s">
        <v>44</v>
      </c>
      <c r="H3" s="2" t="s">
        <v>44</v>
      </c>
    </row>
    <row r="4" spans="1:8" s="17" customFormat="1" x14ac:dyDescent="0.2">
      <c r="A4" s="18" t="s">
        <v>29</v>
      </c>
      <c r="B4" s="3">
        <v>475</v>
      </c>
      <c r="C4" s="3">
        <v>1500</v>
      </c>
      <c r="D4" s="3">
        <v>1730</v>
      </c>
      <c r="E4" s="3">
        <v>1800</v>
      </c>
      <c r="F4" s="3">
        <v>1150</v>
      </c>
      <c r="G4" s="3">
        <v>1500</v>
      </c>
      <c r="H4" s="3">
        <v>1500</v>
      </c>
    </row>
    <row r="5" spans="1:8" x14ac:dyDescent="0.2">
      <c r="A5" s="19" t="s">
        <v>58</v>
      </c>
      <c r="B5" s="4">
        <v>7690</v>
      </c>
      <c r="C5" s="4">
        <v>35578</v>
      </c>
      <c r="D5" s="4">
        <v>45500</v>
      </c>
      <c r="E5" s="4">
        <v>106130</v>
      </c>
      <c r="F5" s="4">
        <v>21663</v>
      </c>
      <c r="G5" s="4">
        <v>140309</v>
      </c>
      <c r="H5" s="4">
        <v>140309</v>
      </c>
    </row>
    <row r="6" spans="1:8" x14ac:dyDescent="0.2">
      <c r="A6" s="19" t="s">
        <v>59</v>
      </c>
      <c r="B6" s="5">
        <v>400</v>
      </c>
      <c r="C6" s="5">
        <v>1500</v>
      </c>
      <c r="D6" s="5">
        <v>1500</v>
      </c>
      <c r="E6" s="5">
        <v>2000</v>
      </c>
      <c r="F6" s="5">
        <v>1000</v>
      </c>
      <c r="G6" s="5">
        <v>2760</v>
      </c>
      <c r="H6" s="5">
        <v>2760</v>
      </c>
    </row>
    <row r="7" spans="1:8" x14ac:dyDescent="0.2">
      <c r="A7" s="19" t="s">
        <v>15</v>
      </c>
      <c r="B7" s="5">
        <v>0</v>
      </c>
      <c r="C7" s="5">
        <v>0</v>
      </c>
      <c r="D7" s="5">
        <v>0</v>
      </c>
      <c r="E7" s="5">
        <v>0</v>
      </c>
      <c r="F7" s="5">
        <v>0</v>
      </c>
      <c r="G7" s="5">
        <v>0</v>
      </c>
      <c r="H7" s="5">
        <v>0</v>
      </c>
    </row>
    <row r="8" spans="1:8" x14ac:dyDescent="0.2">
      <c r="A8" s="19" t="s">
        <v>16</v>
      </c>
      <c r="B8" s="6">
        <v>0.04</v>
      </c>
      <c r="C8" s="6">
        <v>0.04</v>
      </c>
      <c r="D8" s="6">
        <v>0.15</v>
      </c>
      <c r="E8" s="6">
        <v>0.04</v>
      </c>
      <c r="F8" s="6">
        <v>0.21</v>
      </c>
      <c r="G8" s="6">
        <v>0.25</v>
      </c>
      <c r="H8" s="6">
        <v>0.25</v>
      </c>
    </row>
    <row r="9" spans="1:8" x14ac:dyDescent="0.2">
      <c r="A9" s="19" t="s">
        <v>8</v>
      </c>
      <c r="B9" s="7" t="s">
        <v>7</v>
      </c>
      <c r="C9" s="51" t="s">
        <v>7</v>
      </c>
      <c r="D9" s="51" t="s">
        <v>6</v>
      </c>
      <c r="E9" s="7" t="s">
        <v>7</v>
      </c>
      <c r="F9" s="7" t="s">
        <v>3</v>
      </c>
      <c r="G9" s="7" t="s">
        <v>3</v>
      </c>
      <c r="H9" s="7" t="s">
        <v>3</v>
      </c>
    </row>
    <row r="10" spans="1:8" x14ac:dyDescent="0.2">
      <c r="A10" s="19" t="s">
        <v>27</v>
      </c>
      <c r="B10" s="3">
        <v>5</v>
      </c>
      <c r="C10" s="3">
        <v>20</v>
      </c>
      <c r="D10" s="3">
        <v>5</v>
      </c>
      <c r="E10" s="3">
        <v>24</v>
      </c>
      <c r="F10" s="3">
        <v>7</v>
      </c>
      <c r="G10" s="3">
        <v>14</v>
      </c>
      <c r="H10" s="3">
        <v>14</v>
      </c>
    </row>
    <row r="11" spans="1:8" x14ac:dyDescent="0.2">
      <c r="A11" s="19" t="s">
        <v>28</v>
      </c>
      <c r="B11" s="8">
        <v>0.2</v>
      </c>
      <c r="C11" s="8">
        <v>0.2</v>
      </c>
      <c r="D11" s="8">
        <v>1.88</v>
      </c>
      <c r="E11" s="8">
        <v>0.2</v>
      </c>
      <c r="F11" s="8">
        <v>1.88</v>
      </c>
      <c r="G11" s="8">
        <v>1.88</v>
      </c>
      <c r="H11" s="8">
        <v>1.88</v>
      </c>
    </row>
    <row r="12" spans="1:8" x14ac:dyDescent="0.2">
      <c r="A12" s="19" t="s">
        <v>64</v>
      </c>
      <c r="B12" s="52">
        <v>0.75</v>
      </c>
      <c r="C12" s="52">
        <v>0.75</v>
      </c>
      <c r="D12" s="52">
        <v>0.75</v>
      </c>
      <c r="E12" s="52">
        <v>0.75</v>
      </c>
      <c r="F12" s="52">
        <v>1.1000000000000001</v>
      </c>
      <c r="G12" s="52">
        <v>1</v>
      </c>
      <c r="H12" s="52">
        <v>1</v>
      </c>
    </row>
    <row r="13" spans="1:8" x14ac:dyDescent="0.2">
      <c r="A13" s="21" t="s">
        <v>21</v>
      </c>
      <c r="B13" s="9"/>
      <c r="C13" s="9"/>
      <c r="D13" s="9"/>
      <c r="E13" s="9"/>
      <c r="F13" s="9"/>
      <c r="G13" s="9"/>
      <c r="H13" s="9"/>
    </row>
    <row r="14" spans="1:8" x14ac:dyDescent="0.2">
      <c r="A14" s="22" t="s">
        <v>25</v>
      </c>
      <c r="B14" s="10">
        <v>60</v>
      </c>
      <c r="C14" s="10">
        <v>60</v>
      </c>
      <c r="D14" s="10">
        <v>60</v>
      </c>
      <c r="E14" s="10">
        <v>60</v>
      </c>
      <c r="F14" s="10">
        <v>60</v>
      </c>
      <c r="G14" s="10">
        <v>60</v>
      </c>
      <c r="H14" s="10">
        <v>60</v>
      </c>
    </row>
    <row r="15" spans="1:8" x14ac:dyDescent="0.2">
      <c r="A15" s="22" t="s">
        <v>22</v>
      </c>
      <c r="B15" s="11">
        <v>10000</v>
      </c>
      <c r="C15" s="11">
        <v>15000</v>
      </c>
      <c r="D15" s="11">
        <v>15000</v>
      </c>
      <c r="E15" s="11">
        <v>15000</v>
      </c>
      <c r="F15" s="11">
        <v>15000</v>
      </c>
      <c r="G15" s="11">
        <v>15000</v>
      </c>
      <c r="H15" s="11">
        <v>30000</v>
      </c>
    </row>
    <row r="16" spans="1:8" x14ac:dyDescent="0.2">
      <c r="A16" s="21" t="s">
        <v>20</v>
      </c>
      <c r="B16" s="12"/>
      <c r="C16" s="12"/>
      <c r="D16" s="12"/>
      <c r="E16" s="12"/>
      <c r="F16" s="12"/>
      <c r="G16" s="12"/>
      <c r="H16" s="12"/>
    </row>
    <row r="17" spans="1:8" x14ac:dyDescent="0.2">
      <c r="A17" s="22" t="s">
        <v>14</v>
      </c>
      <c r="B17" s="13" t="s">
        <v>11</v>
      </c>
      <c r="C17" s="13" t="s">
        <v>11</v>
      </c>
      <c r="D17" s="13" t="s">
        <v>11</v>
      </c>
      <c r="E17" s="13" t="s">
        <v>11</v>
      </c>
      <c r="F17" s="13" t="s">
        <v>11</v>
      </c>
      <c r="G17" s="13" t="s">
        <v>11</v>
      </c>
      <c r="H17" s="13" t="s">
        <v>9</v>
      </c>
    </row>
    <row r="18" spans="1:8" x14ac:dyDescent="0.2">
      <c r="A18" s="22" t="s">
        <v>57</v>
      </c>
      <c r="B18" s="14">
        <v>0.52</v>
      </c>
      <c r="C18" s="14">
        <v>0.52</v>
      </c>
      <c r="D18" s="14">
        <v>0.52</v>
      </c>
      <c r="E18" s="14">
        <v>0.52</v>
      </c>
      <c r="F18" s="14">
        <v>0.52</v>
      </c>
      <c r="G18" s="14">
        <v>0.52</v>
      </c>
      <c r="H18" s="14">
        <v>0.52</v>
      </c>
    </row>
    <row r="19" spans="1:8" x14ac:dyDescent="0.2">
      <c r="A19" s="23" t="s">
        <v>23</v>
      </c>
      <c r="B19" s="24"/>
      <c r="C19" s="24"/>
      <c r="D19" s="24"/>
      <c r="E19" s="24"/>
      <c r="F19" s="24"/>
      <c r="G19" s="24"/>
      <c r="H19" s="24"/>
    </row>
    <row r="20" spans="1:8" x14ac:dyDescent="0.2">
      <c r="A20" s="27" t="s">
        <v>0</v>
      </c>
      <c r="B20" s="26">
        <f t="shared" ref="B20:H20" si="0">(B$5+B$6)*0.21/1.21</f>
        <v>1404.0495867768595</v>
      </c>
      <c r="C20" s="26">
        <f t="shared" si="0"/>
        <v>6435.0247933884302</v>
      </c>
      <c r="D20" s="26">
        <f t="shared" si="0"/>
        <v>8157.0247933884302</v>
      </c>
      <c r="E20" s="26">
        <f t="shared" si="0"/>
        <v>18766.363636363636</v>
      </c>
      <c r="F20" s="26">
        <f t="shared" si="0"/>
        <v>3933.2479338842973</v>
      </c>
      <c r="G20" s="26">
        <f t="shared" si="0"/>
        <v>24830.157024793389</v>
      </c>
      <c r="H20" s="26">
        <f t="shared" si="0"/>
        <v>24830.157024793389</v>
      </c>
    </row>
    <row r="21" spans="1:8" x14ac:dyDescent="0.2">
      <c r="A21" s="25" t="s">
        <v>60</v>
      </c>
      <c r="B21" s="26">
        <f t="shared" ref="B21:H21" si="1">(B$5+B$6)/1.21</f>
        <v>6685.9504132231405</v>
      </c>
      <c r="C21" s="26">
        <f t="shared" si="1"/>
        <v>30642.975206611573</v>
      </c>
      <c r="D21" s="26">
        <f t="shared" si="1"/>
        <v>38842.975206611569</v>
      </c>
      <c r="E21" s="26">
        <f t="shared" si="1"/>
        <v>89363.636363636368</v>
      </c>
      <c r="F21" s="26">
        <f t="shared" si="1"/>
        <v>18729.752066115703</v>
      </c>
      <c r="G21" s="26">
        <f t="shared" si="1"/>
        <v>118238.84297520661</v>
      </c>
      <c r="H21" s="26">
        <f t="shared" si="1"/>
        <v>118238.84297520661</v>
      </c>
    </row>
    <row r="22" spans="1:8" x14ac:dyDescent="0.2">
      <c r="A22" s="25" t="s">
        <v>61</v>
      </c>
      <c r="B22" s="54">
        <f t="shared" ref="B22:H22" si="2">B12*(B5*0.85-(0.8%*B14*B5)-(B15*(B14/12)*(0.015+B5/2000000)))/1.21</f>
        <v>1179.5764462809918</v>
      </c>
      <c r="C22" s="54">
        <f t="shared" si="2"/>
        <v>6635.1353305785133</v>
      </c>
      <c r="D22" s="54">
        <f t="shared" si="2"/>
        <v>8680.0103305785124</v>
      </c>
      <c r="E22" s="54">
        <f t="shared" si="2"/>
        <v>21175.55268595041</v>
      </c>
      <c r="F22" s="54">
        <f t="shared" si="2"/>
        <v>5525.4068181818175</v>
      </c>
      <c r="G22" s="54">
        <f t="shared" si="2"/>
        <v>37626.233471074382</v>
      </c>
      <c r="H22" s="54">
        <f t="shared" si="2"/>
        <v>32348.061983471074</v>
      </c>
    </row>
    <row r="23" spans="1:8" x14ac:dyDescent="0.2">
      <c r="A23" s="25" t="s">
        <v>38</v>
      </c>
      <c r="B23" s="28">
        <f t="shared" ref="B23:H23" si="3">B$21-B$22</f>
        <v>5506.3739669421484</v>
      </c>
      <c r="C23" s="28">
        <f t="shared" si="3"/>
        <v>24007.83987603306</v>
      </c>
      <c r="D23" s="28">
        <f t="shared" si="3"/>
        <v>30162.964876033056</v>
      </c>
      <c r="E23" s="28">
        <f t="shared" si="3"/>
        <v>68188.083677685965</v>
      </c>
      <c r="F23" s="28">
        <f t="shared" si="3"/>
        <v>13204.345247933885</v>
      </c>
      <c r="G23" s="28">
        <f t="shared" si="3"/>
        <v>80612.609504132241</v>
      </c>
      <c r="H23" s="28">
        <f t="shared" si="3"/>
        <v>85890.780991735548</v>
      </c>
    </row>
    <row r="24" spans="1:8" x14ac:dyDescent="0.2">
      <c r="A24" s="25" t="s">
        <v>24</v>
      </c>
      <c r="B24" s="29">
        <f t="shared" ref="B24:H24" si="4">B$10/100*B$11/1.21</f>
        <v>8.2644628099173573E-3</v>
      </c>
      <c r="C24" s="29">
        <f t="shared" si="4"/>
        <v>3.3057851239669429E-2</v>
      </c>
      <c r="D24" s="29">
        <f t="shared" si="4"/>
        <v>7.768595041322314E-2</v>
      </c>
      <c r="E24" s="29">
        <f t="shared" si="4"/>
        <v>3.9669421487603308E-2</v>
      </c>
      <c r="F24" s="29">
        <f t="shared" si="4"/>
        <v>0.10876033057851239</v>
      </c>
      <c r="G24" s="29">
        <f t="shared" si="4"/>
        <v>0.21752066115702479</v>
      </c>
      <c r="H24" s="29">
        <f t="shared" si="4"/>
        <v>0.21752066115702479</v>
      </c>
    </row>
    <row r="25" spans="1:8" x14ac:dyDescent="0.2">
      <c r="A25" s="23" t="s">
        <v>62</v>
      </c>
      <c r="B25" s="30">
        <f t="shared" ref="B25:H25" si="5">B$26+B$27+B$28+B$29+B$30+B$31</f>
        <v>155.76485893227976</v>
      </c>
      <c r="C25" s="30">
        <f t="shared" si="5"/>
        <v>592.85161797613932</v>
      </c>
      <c r="D25" s="30">
        <f t="shared" si="5"/>
        <v>815.4971503592061</v>
      </c>
      <c r="E25" s="30">
        <f t="shared" si="5"/>
        <v>1561.0715806203202</v>
      </c>
      <c r="F25" s="30">
        <f t="shared" si="5"/>
        <v>485.06728510985272</v>
      </c>
      <c r="G25" s="30">
        <f t="shared" si="5"/>
        <v>2108.3309660964342</v>
      </c>
      <c r="H25" s="30">
        <f t="shared" si="5"/>
        <v>2540.3047274667306</v>
      </c>
    </row>
    <row r="26" spans="1:8" x14ac:dyDescent="0.2">
      <c r="A26" s="25" t="s">
        <v>26</v>
      </c>
      <c r="B26" s="28">
        <f t="shared" ref="B26:H26" si="6">B$23/B$14</f>
        <v>91.772899449035805</v>
      </c>
      <c r="C26" s="28">
        <f t="shared" si="6"/>
        <v>400.13066460055103</v>
      </c>
      <c r="D26" s="28">
        <f t="shared" si="6"/>
        <v>502.71608126721759</v>
      </c>
      <c r="E26" s="28">
        <f t="shared" si="6"/>
        <v>1136.4680612947661</v>
      </c>
      <c r="F26" s="28">
        <f t="shared" si="6"/>
        <v>220.07242079889809</v>
      </c>
      <c r="G26" s="28">
        <f t="shared" si="6"/>
        <v>1343.5434917355374</v>
      </c>
      <c r="H26" s="28">
        <f t="shared" si="6"/>
        <v>1431.5130165289258</v>
      </c>
    </row>
    <row r="27" spans="1:8" x14ac:dyDescent="0.2">
      <c r="A27" s="25" t="s">
        <v>63</v>
      </c>
      <c r="B27" s="31">
        <f t="shared" ref="B27:H27" si="7">-PMT(5.5%/12,B$14,B$23)-B26</f>
        <v>13.405242672006082</v>
      </c>
      <c r="C27" s="31">
        <f t="shared" si="7"/>
        <v>58.446978265736902</v>
      </c>
      <c r="D27" s="31">
        <f t="shared" si="7"/>
        <v>73.431602411661459</v>
      </c>
      <c r="E27" s="31">
        <f t="shared" si="7"/>
        <v>166.00358321577119</v>
      </c>
      <c r="F27" s="31">
        <f t="shared" si="7"/>
        <v>32.145919154089228</v>
      </c>
      <c r="G27" s="31">
        <f t="shared" si="7"/>
        <v>196.25103549344703</v>
      </c>
      <c r="H27" s="31">
        <f t="shared" si="7"/>
        <v>209.10072025524664</v>
      </c>
    </row>
    <row r="28" spans="1:8" x14ac:dyDescent="0.2">
      <c r="A28" s="27" t="s">
        <v>1</v>
      </c>
      <c r="B28" s="28">
        <f t="shared" ref="B28:H28" si="8">(250+0.015*B$21)/12</f>
        <v>29.19077134986226</v>
      </c>
      <c r="C28" s="28">
        <f t="shared" si="8"/>
        <v>59.137052341597801</v>
      </c>
      <c r="D28" s="28">
        <f t="shared" si="8"/>
        <v>69.387052341597794</v>
      </c>
      <c r="E28" s="28">
        <f t="shared" si="8"/>
        <v>132.53787878787878</v>
      </c>
      <c r="F28" s="28">
        <f t="shared" si="8"/>
        <v>44.245523415977964</v>
      </c>
      <c r="G28" s="28">
        <f t="shared" si="8"/>
        <v>168.6318870523416</v>
      </c>
      <c r="H28" s="28">
        <f t="shared" si="8"/>
        <v>168.6318870523416</v>
      </c>
    </row>
    <row r="29" spans="1:8" x14ac:dyDescent="0.2">
      <c r="A29" s="25" t="s">
        <v>2</v>
      </c>
      <c r="B29" s="28">
        <v>0</v>
      </c>
      <c r="C29" s="28">
        <v>0</v>
      </c>
      <c r="D29" s="28">
        <f>IF(OR(D$9="Elektriciteit",D$9="PHEV"),(D$4*0.85-450)/12/2,IF(D$9="Benzine",(D$4*0.85-450)/12,IF(D$9="LPG",(D$4*1.341-318)/12,IF(D$9="LPG3/Aardgas",(D$4*1.35-743)/12,IF(D$9="Diesel",(D$4*1.33-397)/12)))))</f>
        <v>42.520833333333336</v>
      </c>
      <c r="E29" s="28">
        <v>0</v>
      </c>
      <c r="F29" s="28">
        <f>IF(OR(F$9="Elektriciteit",F$9="PHEV"),(F$4*0.85-450)/12,IF(F$9="Benzine",(F$4*0.85-450)/12,IF(F$9="LPG",(F$4*1.341-318)/12,IF(F$9="LPG3/Aardgas",(F$4*1.35-743)/12,IF(F$9="Diesel",(F$4*1.33-397)/12)))))</f>
        <v>43.958333333333336</v>
      </c>
      <c r="G29" s="28">
        <f>IF(OR(G$9="Elektriciteit",G$9="PHEV"),(G$4*0.85-450)/12,IF(G$9="Benzine",(G$4*0.85-450)/12,IF(G$9="LPG",(G$4*1.341-318)/12,IF(G$9="LPG3/Aardgas",(G$4*1.35-743)/12,IF(G$9="Diesel",(G$4*1.33-397)/12)))))</f>
        <v>68.75</v>
      </c>
      <c r="H29" s="28">
        <f>IF(OR(H$9="Elektriciteit",H$9="PHEV"),(H$4*0.85-450)/12,IF(H$9="Benzine",(H$4*0.85-450)/12,IF(H$9="LPG",(H$4*1.341-318)/12,IF(H$9="LPG3/Aardgas",(H$4*1.35-743)/12,IF(H$9="Diesel",(H$4*1.33-397)/12)))))</f>
        <v>68.75</v>
      </c>
    </row>
    <row r="30" spans="1:8" x14ac:dyDescent="0.2">
      <c r="A30" s="25" t="s">
        <v>31</v>
      </c>
      <c r="B30" s="28">
        <f t="shared" ref="B30:H30" si="9">(B15/12)*(0.015+B5/2000000)</f>
        <v>15.704166666666667</v>
      </c>
      <c r="C30" s="28">
        <f t="shared" si="9"/>
        <v>40.986249999999998</v>
      </c>
      <c r="D30" s="28">
        <f t="shared" si="9"/>
        <v>47.1875</v>
      </c>
      <c r="E30" s="28">
        <f t="shared" si="9"/>
        <v>85.081249999999997</v>
      </c>
      <c r="F30" s="28">
        <f t="shared" si="9"/>
        <v>32.289375</v>
      </c>
      <c r="G30" s="28">
        <f t="shared" si="9"/>
        <v>106.44312499999999</v>
      </c>
      <c r="H30" s="28">
        <f t="shared" si="9"/>
        <v>212.88624999999999</v>
      </c>
    </row>
    <row r="31" spans="1:8" x14ac:dyDescent="0.2">
      <c r="A31" s="25" t="s">
        <v>32</v>
      </c>
      <c r="B31" s="28">
        <f t="shared" ref="B31:H31" si="10">(B$15*B$24/12)/1.21</f>
        <v>5.6917787947089238</v>
      </c>
      <c r="C31" s="28">
        <f t="shared" si="10"/>
        <v>34.150672768253543</v>
      </c>
      <c r="D31" s="28">
        <f t="shared" si="10"/>
        <v>80.254081005395818</v>
      </c>
      <c r="E31" s="28">
        <f t="shared" si="10"/>
        <v>40.980807321904244</v>
      </c>
      <c r="F31" s="28">
        <f t="shared" si="10"/>
        <v>112.35571340755412</v>
      </c>
      <c r="G31" s="28">
        <f t="shared" si="10"/>
        <v>224.71142681510824</v>
      </c>
      <c r="H31" s="28">
        <f t="shared" si="10"/>
        <v>449.42285363021648</v>
      </c>
    </row>
    <row r="32" spans="1:8" x14ac:dyDescent="0.2">
      <c r="A32" s="23" t="s">
        <v>37</v>
      </c>
      <c r="B32" s="30">
        <f t="shared" ref="B32:H32" si="11">B$33+B$34+B$35+B$36+B$37+B$38+B$39</f>
        <v>-82.649621341169848</v>
      </c>
      <c r="C32" s="30">
        <f t="shared" si="11"/>
        <v>-314.91617165898998</v>
      </c>
      <c r="D32" s="30">
        <f t="shared" si="11"/>
        <v>-79.168518186787196</v>
      </c>
      <c r="E32" s="30">
        <f t="shared" si="11"/>
        <v>-687.32264175749685</v>
      </c>
      <c r="F32" s="30">
        <f t="shared" si="11"/>
        <v>-31.705648257123443</v>
      </c>
      <c r="G32" s="30">
        <f t="shared" si="11"/>
        <v>575.21578429652095</v>
      </c>
      <c r="H32" s="30">
        <f t="shared" si="11"/>
        <v>0</v>
      </c>
    </row>
    <row r="33" spans="1:9" x14ac:dyDescent="0.2">
      <c r="A33" s="25" t="s">
        <v>33</v>
      </c>
      <c r="B33" s="28">
        <f t="shared" ref="B33:E33" si="12">IF(OR(B$17="Particulier",B$9="Elektriciteit"),B$8*B$5*B$18/12,B$8*B$5*B$18/12)</f>
        <v>13.329333333333336</v>
      </c>
      <c r="C33" s="28">
        <f t="shared" si="12"/>
        <v>61.668533333333336</v>
      </c>
      <c r="D33" s="28">
        <f t="shared" si="12"/>
        <v>295.75</v>
      </c>
      <c r="E33" s="28">
        <f t="shared" si="12"/>
        <v>183.95866666666666</v>
      </c>
      <c r="F33" s="28">
        <f t="shared" ref="F33:G33" si="13">IF(OR(F$17="Particulier",F$9="Elektriciteit"),0,F$8*F$5*F$18/12)</f>
        <v>197.13329999999999</v>
      </c>
      <c r="G33" s="28">
        <f t="shared" si="13"/>
        <v>1520.0141666666668</v>
      </c>
      <c r="H33" s="28">
        <v>0</v>
      </c>
    </row>
    <row r="34" spans="1:9" x14ac:dyDescent="0.2">
      <c r="A34" s="25" t="s">
        <v>34</v>
      </c>
      <c r="B34" s="28">
        <f t="shared" ref="B34:H34" si="14">IF(B$17="Particulier",0,(1-B18)*0.027*B$5/12)</f>
        <v>8.3051999999999992</v>
      </c>
      <c r="C34" s="28">
        <f t="shared" si="14"/>
        <v>38.424239999999998</v>
      </c>
      <c r="D34" s="28">
        <f t="shared" si="14"/>
        <v>49.139999999999993</v>
      </c>
      <c r="E34" s="28">
        <f t="shared" si="14"/>
        <v>114.6204</v>
      </c>
      <c r="F34" s="28">
        <f t="shared" si="14"/>
        <v>23.396039999999999</v>
      </c>
      <c r="G34" s="28">
        <f t="shared" si="14"/>
        <v>151.53371999999999</v>
      </c>
      <c r="H34" s="28">
        <f t="shared" si="14"/>
        <v>0</v>
      </c>
    </row>
    <row r="35" spans="1:9" x14ac:dyDescent="0.2">
      <c r="A35" s="25" t="s">
        <v>39</v>
      </c>
      <c r="B35" s="28">
        <f t="shared" ref="B35:H35" si="15">IF(B$17="Particulier",0,-B$25*B$18)</f>
        <v>-80.997726644785487</v>
      </c>
      <c r="C35" s="28">
        <f t="shared" si="15"/>
        <v>-308.28284134759247</v>
      </c>
      <c r="D35" s="28">
        <f t="shared" si="15"/>
        <v>-424.05851818678718</v>
      </c>
      <c r="E35" s="28">
        <f t="shared" si="15"/>
        <v>-811.75722192256649</v>
      </c>
      <c r="F35" s="28">
        <f t="shared" si="15"/>
        <v>-252.23498825712343</v>
      </c>
      <c r="G35" s="28">
        <f t="shared" si="15"/>
        <v>-1096.3321023701458</v>
      </c>
      <c r="H35" s="28">
        <f t="shared" si="15"/>
        <v>0</v>
      </c>
    </row>
    <row r="36" spans="1:9" x14ac:dyDescent="0.2">
      <c r="A36" s="25" t="s">
        <v>35</v>
      </c>
      <c r="B36" s="28">
        <f t="shared" ref="B36:H36" si="16">IF(OR(B$17="Particulier",B$9="Benzine",B$9="Diesel",B$9="LPG",B$9="LPG3/aardgas",B$9="PHEV"),0,-0.36*MIN(B$21,50000)*(B14/60)*B$18/B$14)</f>
        <v>-20.860165289256198</v>
      </c>
      <c r="C36" s="28">
        <f t="shared" si="16"/>
        <v>-95.606082644628103</v>
      </c>
      <c r="D36" s="28">
        <f t="shared" si="16"/>
        <v>0</v>
      </c>
      <c r="E36" s="28">
        <f t="shared" si="16"/>
        <v>-156</v>
      </c>
      <c r="F36" s="28">
        <f t="shared" si="16"/>
        <v>0</v>
      </c>
      <c r="G36" s="28">
        <f t="shared" si="16"/>
        <v>0</v>
      </c>
      <c r="H36" s="28">
        <f t="shared" si="16"/>
        <v>0</v>
      </c>
    </row>
    <row r="37" spans="1:9" x14ac:dyDescent="0.2">
      <c r="A37" s="25" t="s">
        <v>94</v>
      </c>
      <c r="B37" s="28">
        <v>0</v>
      </c>
      <c r="C37" s="28">
        <v>0</v>
      </c>
      <c r="D37" s="28">
        <v>0</v>
      </c>
      <c r="E37" s="28">
        <v>0</v>
      </c>
      <c r="F37" s="28">
        <f t="shared" ref="F37:H37" si="17">-IF(OR(F$17="Particulier",F$9="Benzine",F$9="Diesel",F$9="LPG",F$9="LPG3/aardgas"),0,IF(F$14&lt;60,IF(F$23/1.21&lt;=2300,0,IF(F$23/1.21&lt;=55248,28%*(F$23/1.21),IF(F$23/1.21&lt;=102311,15470,15470-7.65%*(F$23/1.21-102311)))),IF(F$21&lt;=2300,0,IF(F$21&lt;=55248,28%*F$21,IF(F$21&lt;=102311,15470,15470-7.65%*(F$21-102311))))))*F$18/F$14</f>
        <v>0</v>
      </c>
      <c r="G37" s="28">
        <f t="shared" si="17"/>
        <v>0</v>
      </c>
      <c r="H37" s="28">
        <f t="shared" si="17"/>
        <v>0</v>
      </c>
    </row>
    <row r="38" spans="1:9" x14ac:dyDescent="0.2">
      <c r="A38" s="25" t="s">
        <v>100</v>
      </c>
      <c r="B38" s="28">
        <f t="shared" ref="B38:H38" si="18">((PMT(5.5%/12,B$14-12,-B$36*B$14-B$37*B$14)*(B$14-12))-B$37*B$14-B$36*B$14)/B$14</f>
        <v>-2.4262627404614894</v>
      </c>
      <c r="C38" s="28">
        <f t="shared" si="18"/>
        <v>-11.12002100010274</v>
      </c>
      <c r="D38" s="28">
        <f t="shared" si="18"/>
        <v>0</v>
      </c>
      <c r="E38" s="28">
        <f t="shared" si="18"/>
        <v>-18.144486501597051</v>
      </c>
      <c r="F38" s="28">
        <f t="shared" si="18"/>
        <v>0</v>
      </c>
      <c r="G38" s="28">
        <f t="shared" si="18"/>
        <v>0</v>
      </c>
      <c r="H38" s="28">
        <f t="shared" si="18"/>
        <v>0</v>
      </c>
    </row>
    <row r="39" spans="1:9" x14ac:dyDescent="0.2">
      <c r="A39" s="25" t="s">
        <v>95</v>
      </c>
      <c r="B39" s="28">
        <v>0</v>
      </c>
      <c r="C39" s="28">
        <v>0</v>
      </c>
      <c r="D39" s="28">
        <v>0</v>
      </c>
      <c r="E39" s="28">
        <v>0</v>
      </c>
      <c r="F39" s="28">
        <v>0</v>
      </c>
      <c r="G39" s="28">
        <v>0</v>
      </c>
      <c r="H39" s="28">
        <v>0</v>
      </c>
    </row>
    <row r="40" spans="1:9" ht="29" x14ac:dyDescent="0.35">
      <c r="A40" s="32" t="s">
        <v>36</v>
      </c>
      <c r="B40" s="33">
        <f t="shared" ref="B40:H40" si="19">B25+B32+IF(B$17="particulier",B$25*0.21)</f>
        <v>73.115237591109917</v>
      </c>
      <c r="C40" s="33">
        <f t="shared" si="19"/>
        <v>277.93544631714934</v>
      </c>
      <c r="D40" s="33">
        <f t="shared" si="19"/>
        <v>736.32863217241891</v>
      </c>
      <c r="E40" s="33">
        <f t="shared" si="19"/>
        <v>873.74893886282337</v>
      </c>
      <c r="F40" s="33">
        <f t="shared" si="19"/>
        <v>453.36163685272925</v>
      </c>
      <c r="G40" s="33">
        <f t="shared" si="19"/>
        <v>2683.5467503929549</v>
      </c>
      <c r="H40" s="33">
        <f t="shared" si="19"/>
        <v>3073.7687202347443</v>
      </c>
    </row>
    <row r="41" spans="1:9" ht="17.25" customHeight="1" x14ac:dyDescent="0.2">
      <c r="B41" s="44"/>
      <c r="I41"/>
    </row>
    <row r="42" spans="1:9" ht="17.25" customHeight="1" x14ac:dyDescent="0.2">
      <c r="B42" s="40"/>
      <c r="I42"/>
    </row>
    <row r="43" spans="1:9" ht="17.25" customHeight="1" x14ac:dyDescent="0.2">
      <c r="B43" s="41"/>
      <c r="I43"/>
    </row>
    <row r="44" spans="1:9" ht="17.25" customHeight="1" x14ac:dyDescent="0.2">
      <c r="B44" s="34"/>
      <c r="I44"/>
    </row>
    <row r="45" spans="1:9" ht="17.25" customHeight="1" x14ac:dyDescent="0.2">
      <c r="B45" s="42"/>
    </row>
    <row r="46" spans="1:9" ht="17.25" customHeight="1" x14ac:dyDescent="0.2">
      <c r="B46" s="35"/>
    </row>
    <row r="47" spans="1:9" ht="17.25" customHeight="1" x14ac:dyDescent="0.2">
      <c r="B47" s="43"/>
    </row>
    <row r="50" spans="1:27" ht="15.75" customHeight="1" x14ac:dyDescent="0.2"/>
    <row r="51" spans="1:27" ht="15.75" customHeight="1" x14ac:dyDescent="0.2"/>
    <row r="52" spans="1:27" ht="15.75" customHeight="1" x14ac:dyDescent="0.2">
      <c r="A52" s="45" t="s">
        <v>98</v>
      </c>
      <c r="B52" s="37"/>
    </row>
    <row r="53" spans="1:27" s="38" customFormat="1" ht="15.75" customHeight="1" x14ac:dyDescent="0.2">
      <c r="A53" s="46" t="s">
        <v>99</v>
      </c>
      <c r="B53" s="39"/>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5.75" customHeight="1" x14ac:dyDescent="0.2">
      <c r="A54" s="47" t="s">
        <v>51</v>
      </c>
    </row>
    <row r="55" spans="1:27" ht="15.75" customHeight="1" x14ac:dyDescent="0.2">
      <c r="A55" s="46" t="s">
        <v>52</v>
      </c>
    </row>
    <row r="56" spans="1:27" ht="15.75" customHeight="1" x14ac:dyDescent="0.2">
      <c r="A56" s="48" t="s">
        <v>56</v>
      </c>
    </row>
    <row r="57" spans="1:27" ht="15.75" customHeight="1" x14ac:dyDescent="0.2">
      <c r="A57" s="49" t="s">
        <v>53</v>
      </c>
    </row>
    <row r="58" spans="1:27" x14ac:dyDescent="0.2">
      <c r="A58" s="50" t="s">
        <v>40</v>
      </c>
      <c r="B58" s="37"/>
    </row>
  </sheetData>
  <sheetProtection formatCells="0" formatColumns="0" formatRows="0" insertColumns="0" insertRows="0" insertHyperlinks="0"/>
  <dataConsolidate/>
  <phoneticPr fontId="11" type="noConversion"/>
  <dataValidations xWindow="254" yWindow="332" count="11">
    <dataValidation type="decimal" allowBlank="1" showInputMessage="1" showErrorMessage="1" promptTitle="Toelichting bij Energiekosten" prompt="Vul bij elektriciteit de prijs per kWh is en bij brandstof de prijs per liter._x000a__x000a_Voor particulieren zijn de marginale kosten (wat je extra betaalt voor een extra kWh) in 2012 circa €0,20 en voor grote bedrijven tussen de €0,05 en €0,11." sqref="B11">
      <formula1>0.05</formula1>
      <formula2>300</formula2>
    </dataValidation>
    <dataValidation type="decimal" allowBlank="1" showInputMessage="1" showErrorMessage="1" errorTitle="Foutmelding belastingpercentage" error="Het percentage dat u invult moet tussen 0 en 52 liggen!" promptTitle="Belastingpercentage" prompt="Vul het belastingpercentage in dat uw bedrijf betaalt. _x000a_Enkele vuistregels:_x000a_- Modale ZZP'er 42%_x000a_- Bovenmodale ZZP'er 52%_x000a_- Eigen BV 40% (VPB+Dividend)_x000a_- Grote onderneming 25%_x000a_  (winst groter dan 2 ton)" sqref="B18:H18">
      <formula1>0</formula1>
      <formula2>0.52</formula2>
    </dataValidation>
    <dataValidation type="whole" allowBlank="1" showInputMessage="1" showErrorMessage="1" errorTitle="Foutmelding consumentenprijs" error="Vul hier een geheel getal in tussen 1 en 50.000 (in euro's)." promptTitle="Afleverkosten etc." prompt="Vul hier in wat u betaald heeft aan afleverkosten, rijklaar maken en alle andere kosten die de dealer u in rekening bracht. Dit zijn investeringen die u in de auto heeft gedaan. Doe dit incl. BTW." sqref="B6:H6">
      <formula1>1</formula1>
      <formula2>50000</formula2>
    </dataValidation>
    <dataValidation type="list" allowBlank="1" showInputMessage="1" showErrorMessage="1" errorTitle="Waarschuwing keuze energiedrager" error="U hebt een energiedrager ingevuld waar dit model niet mee kan rekenen!" promptTitle="Toelichting keuze energiedrager" prompt="Hoe neemt u energie mee?_x000a_Tankt u benzine, diesel, LPG of elektriciteit?_x000a_Of hebt u een PHEV (plug-in hybrid electric vehicle) waarmee u zowel elektriciteit als brandstof tankt?_x000a_Dit is van belang voor energieprijs, MIA/KIA/VAMIL en inkomensbijtelling." sqref="B9:H9">
      <formula1>LijstEnergiedrager</formula1>
    </dataValidation>
    <dataValidation type="whole" allowBlank="1" showInputMessage="1" showErrorMessage="1" errorTitle="Foutmelding consumentenprijs" error="Vul hier een geheel getal in tussen 500 en 500000 (in euro's)." promptTitle="Consumentenprijs" prompt="Vul hier de consumentenprijs in. _x000a_Dus inclusief BTW en BPM,_x000a_maar exclusief afleverkosten en aankoopkorting." sqref="B5:H5">
      <formula1>500</formula1>
      <formula2>500000</formula2>
    </dataValidation>
    <dataValidation type="whole" allowBlank="1" showInputMessage="1" showErrorMessage="1" errorTitle="Foutmelding kilometrage" error="U moet een geheel getal invullen tussen 0 en 100.000 (kilometer per jaar)." promptTitle="Kilometers per jaar" prompt="Vul hier het aantal kilometer per jaar in dat u gemiddeld denkt te gaan rijden over de looptijd." sqref="B15:H15">
      <formula1>0</formula1>
      <formula2>100000</formula2>
    </dataValidation>
    <dataValidation type="whole" allowBlank="1" showInputMessage="1" showErrorMessage="1" errorTitle="Foutmelding looptijd" error="U moet een waarde tussen 12 en 120 invullen" promptTitle="Looptijd in maanden" prompt="Vul hier het aantal maanden in dat u de auto wilt gebruiken voor u hem van de hand doet. Let op: MIA en KIA zijn lager als u minder dan 60 maanden invult omdat dan de restwaarde wordt afgetrokken." sqref="B14:H14">
      <formula1>12</formula1>
      <formula2>120</formula2>
    </dataValidation>
    <dataValidation type="list" allowBlank="1" showInputMessage="1" showErrorMessage="1" errorTitle="Foutmelding bijtelling" error="Geldige bijtellingspercentages zijn 0, 7, 14,20 en 25 procent." promptTitle="Bijtellingspercentage" prompt="Vul hier het bijtellingspercentage van de auto in:_x000a_- 0% voor elektrische auto's en PHEV's_x000a_- 14% voor zeer zuinige auto's_x000a_- 20% voor meer dan gemiddeld zuinige auto's_x000a_- 25% voor de overige auto's" sqref="B8:H8">
      <formula1>lijstbijtelling</formula1>
    </dataValidation>
    <dataValidation type="list" allowBlank="1" showInputMessage="1" showErrorMessage="1" errorTitle="Foutmelding Ficaal Regime" error="U hebt een fiscaal regime ingevuld waar dit model niet mee kan rekenen!_x000a_Kies een ander regime." promptTitle="Toelichting Fiscaal Regime" prompt="Wie schaft de auto aan?_x000a_- Particulier_x000a_- Eigenaar eenmanszaak, VOF of Maatschap c.q. ZZP'er _x000a_- BV, NV, Stichting of Vereniging waarvan u directeurssalaris ontvangt _x000a_- Bedrijf waar u in loondienst bent_x000a_- Leasemaatschappij" sqref="B17:H17">
      <formula1>LijstFiscaalRegime</formula1>
    </dataValidation>
    <dataValidation type="whole" allowBlank="1" showInputMessage="1" showErrorMessage="1" errorTitle="Foutmelding consumentenprijs" error="Vul hier een geheel getal in tussen 1 en 50.000 (in euro's)." promptTitle="Aankoopkorting" prompt="Vaak kunt u aankoopkorting krijgen. Bijvoorbeeld omdat u geen inruilwagen hebt of omdat u vaker bij deze dealer koopt. Deze kortingen worden afgetrokken van uw investering." sqref="B7:H7">
      <formula1>0</formula1>
      <formula2>50000</formula2>
    </dataValidation>
    <dataValidation type="decimal" allowBlank="1" showInputMessage="1" showErrorMessage="1" promptTitle="Verbruik in liters of kWh" prompt="Bij benzine, diesel of LPG: het aantal liter per 100 km._x000a_Bij elektriciteit: het aantal kWh per 100 km. _x000a_Vuistregel:tussen 15 en 35kWh._x000a_Als u realistisch wilt zijn vermenigvuldigt u de waarde uit folder (obv de Europese norm) met 1,5 o.i.d." sqref="B10:H10">
      <formula1>0.01</formula1>
      <formula2>30</formula2>
    </dataValidation>
  </dataValidations>
  <pageMargins left="0.70000000000000007" right="0.70000000000000007" top="0.75000000000000011" bottom="0.75000000000000011" header="0.30000000000000004" footer="0.30000000000000004"/>
  <pageSetup paperSize="9" scale="79"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zoomScale="125" zoomScaleNormal="125" zoomScalePageLayoutView="125" workbookViewId="0">
      <pane xSplit="1" ySplit="5" topLeftCell="B19" activePane="bottomRight" state="frozen"/>
      <selection pane="topRight" activeCell="B1" sqref="B1"/>
      <selection pane="bottomLeft" activeCell="A6" sqref="A6"/>
      <selection pane="bottomRight" activeCell="F25" sqref="F25"/>
    </sheetView>
  </sheetViews>
  <sheetFormatPr baseColWidth="10" defaultColWidth="8.83203125" defaultRowHeight="15" x14ac:dyDescent="0.2"/>
  <cols>
    <col min="1" max="1" width="38.5" customWidth="1"/>
    <col min="2" max="2" width="10.5" bestFit="1" customWidth="1"/>
    <col min="3" max="11" width="13" customWidth="1"/>
  </cols>
  <sheetData>
    <row r="1" spans="1:11" x14ac:dyDescent="0.2">
      <c r="A1" s="15" t="s">
        <v>19</v>
      </c>
      <c r="B1" s="15"/>
      <c r="C1" s="16"/>
      <c r="D1" s="16"/>
      <c r="E1" s="16"/>
      <c r="F1" s="16"/>
      <c r="G1" s="16"/>
      <c r="H1" s="16"/>
      <c r="I1" s="16"/>
      <c r="J1" s="16"/>
      <c r="K1" s="16"/>
    </row>
    <row r="2" spans="1:11" x14ac:dyDescent="0.2">
      <c r="A2" s="18" t="s">
        <v>17</v>
      </c>
      <c r="B2" s="2" t="s">
        <v>71</v>
      </c>
      <c r="C2" s="2" t="s">
        <v>50</v>
      </c>
      <c r="D2" s="2" t="s">
        <v>47</v>
      </c>
      <c r="E2" s="2" t="s">
        <v>47</v>
      </c>
      <c r="F2" s="2" t="s">
        <v>54</v>
      </c>
      <c r="G2" s="2" t="s">
        <v>54</v>
      </c>
      <c r="H2" s="2" t="s">
        <v>41</v>
      </c>
      <c r="I2" s="2" t="s">
        <v>41</v>
      </c>
      <c r="J2" s="2" t="s">
        <v>45</v>
      </c>
      <c r="K2" s="2" t="s">
        <v>43</v>
      </c>
    </row>
    <row r="3" spans="1:11" x14ac:dyDescent="0.2">
      <c r="A3" s="18" t="s">
        <v>18</v>
      </c>
      <c r="B3" s="2" t="s">
        <v>72</v>
      </c>
      <c r="C3" s="2" t="s">
        <v>49</v>
      </c>
      <c r="D3" s="2" t="s">
        <v>48</v>
      </c>
      <c r="E3" s="2" t="s">
        <v>48</v>
      </c>
      <c r="F3" s="2" t="s">
        <v>55</v>
      </c>
      <c r="G3" s="2" t="s">
        <v>55</v>
      </c>
      <c r="H3" s="2" t="s">
        <v>42</v>
      </c>
      <c r="I3" s="2" t="s">
        <v>42</v>
      </c>
      <c r="J3" s="2" t="s">
        <v>46</v>
      </c>
      <c r="K3" s="2" t="s">
        <v>44</v>
      </c>
    </row>
    <row r="4" spans="1:11" x14ac:dyDescent="0.2">
      <c r="A4" s="18" t="s">
        <v>29</v>
      </c>
      <c r="B4" s="2" t="s">
        <v>73</v>
      </c>
      <c r="C4" s="3">
        <v>475</v>
      </c>
      <c r="D4" s="3">
        <v>1500</v>
      </c>
      <c r="E4" s="3">
        <v>1500</v>
      </c>
      <c r="F4" s="3">
        <v>1730</v>
      </c>
      <c r="G4" s="3">
        <v>1730</v>
      </c>
      <c r="H4" s="3">
        <v>1600</v>
      </c>
      <c r="I4" s="3">
        <v>1800</v>
      </c>
      <c r="J4" s="3">
        <v>1150</v>
      </c>
      <c r="K4" s="3">
        <v>1500</v>
      </c>
    </row>
    <row r="5" spans="1:11" x14ac:dyDescent="0.2">
      <c r="A5" s="19" t="s">
        <v>58</v>
      </c>
      <c r="B5" s="56" t="s">
        <v>74</v>
      </c>
      <c r="C5" s="4">
        <v>7690</v>
      </c>
      <c r="D5" s="4">
        <v>35578</v>
      </c>
      <c r="E5" s="4">
        <v>35578</v>
      </c>
      <c r="F5" s="4">
        <v>45500</v>
      </c>
      <c r="G5" s="4">
        <v>45500</v>
      </c>
      <c r="H5" s="4">
        <v>70000</v>
      </c>
      <c r="I5" s="4">
        <v>106000</v>
      </c>
      <c r="J5" s="4">
        <v>21663</v>
      </c>
      <c r="K5" s="4">
        <v>140309</v>
      </c>
    </row>
    <row r="6" spans="1:11" x14ac:dyDescent="0.2">
      <c r="A6" s="19" t="s">
        <v>59</v>
      </c>
      <c r="B6" s="19"/>
      <c r="C6" s="5">
        <v>400</v>
      </c>
      <c r="D6" s="5">
        <v>1500</v>
      </c>
      <c r="E6" s="5">
        <v>1500</v>
      </c>
      <c r="F6" s="5">
        <v>1500</v>
      </c>
      <c r="G6" s="5">
        <v>1500</v>
      </c>
      <c r="H6" s="5">
        <v>2000</v>
      </c>
      <c r="I6" s="5">
        <v>2000</v>
      </c>
      <c r="J6" s="5">
        <v>1000</v>
      </c>
      <c r="K6" s="5">
        <v>2760</v>
      </c>
    </row>
    <row r="7" spans="1:11" x14ac:dyDescent="0.2">
      <c r="A7" s="19" t="s">
        <v>15</v>
      </c>
      <c r="B7" s="19"/>
      <c r="C7" s="5">
        <v>0</v>
      </c>
      <c r="D7" s="5">
        <v>0</v>
      </c>
      <c r="E7" s="5">
        <v>0</v>
      </c>
      <c r="F7" s="5">
        <v>0</v>
      </c>
      <c r="G7" s="5">
        <v>0</v>
      </c>
      <c r="H7" s="5">
        <v>0</v>
      </c>
      <c r="I7" s="5">
        <v>0</v>
      </c>
      <c r="J7" s="5">
        <v>0</v>
      </c>
      <c r="K7" s="5">
        <v>0</v>
      </c>
    </row>
    <row r="8" spans="1:11" x14ac:dyDescent="0.2">
      <c r="A8" s="19" t="s">
        <v>16</v>
      </c>
      <c r="B8" s="19"/>
      <c r="C8" s="6">
        <v>0.04</v>
      </c>
      <c r="D8" s="6">
        <v>0.04</v>
      </c>
      <c r="E8" s="6">
        <v>0.04</v>
      </c>
      <c r="F8" s="6">
        <v>0.15</v>
      </c>
      <c r="G8" s="6">
        <v>0.15</v>
      </c>
      <c r="H8" s="6">
        <v>0.04</v>
      </c>
      <c r="I8" s="6">
        <v>0.04</v>
      </c>
      <c r="J8" s="6">
        <v>0.21</v>
      </c>
      <c r="K8" s="6">
        <v>0.25</v>
      </c>
    </row>
    <row r="9" spans="1:11" x14ac:dyDescent="0.2">
      <c r="A9" s="19" t="s">
        <v>8</v>
      </c>
      <c r="B9" s="19"/>
      <c r="C9" s="7" t="s">
        <v>7</v>
      </c>
      <c r="D9" s="7" t="s">
        <v>7</v>
      </c>
      <c r="E9" s="7" t="s">
        <v>7</v>
      </c>
      <c r="F9" s="51" t="s">
        <v>6</v>
      </c>
      <c r="G9" s="51" t="s">
        <v>6</v>
      </c>
      <c r="H9" s="7" t="s">
        <v>7</v>
      </c>
      <c r="I9" s="7" t="s">
        <v>7</v>
      </c>
      <c r="J9" s="7" t="s">
        <v>3</v>
      </c>
      <c r="K9" s="7" t="s">
        <v>3</v>
      </c>
    </row>
    <row r="10" spans="1:11" x14ac:dyDescent="0.2">
      <c r="A10" s="19" t="s">
        <v>27</v>
      </c>
      <c r="B10" s="19"/>
      <c r="C10" s="3">
        <v>5</v>
      </c>
      <c r="D10" s="3">
        <v>20</v>
      </c>
      <c r="E10" s="3">
        <v>20</v>
      </c>
      <c r="F10" s="3">
        <v>5</v>
      </c>
      <c r="G10" s="3">
        <v>5</v>
      </c>
      <c r="H10" s="3">
        <v>24</v>
      </c>
      <c r="I10" s="3">
        <v>24</v>
      </c>
      <c r="J10" s="3">
        <v>7</v>
      </c>
      <c r="K10" s="3">
        <v>14</v>
      </c>
    </row>
    <row r="11" spans="1:11" x14ac:dyDescent="0.2">
      <c r="A11" s="19" t="s">
        <v>28</v>
      </c>
      <c r="B11" s="19"/>
      <c r="C11" s="8">
        <v>0.2</v>
      </c>
      <c r="D11" s="8">
        <v>0.2</v>
      </c>
      <c r="E11" s="8">
        <v>0.2</v>
      </c>
      <c r="F11" s="8">
        <v>1.88</v>
      </c>
      <c r="G11" s="8">
        <v>1.88</v>
      </c>
      <c r="H11" s="8">
        <v>0.2</v>
      </c>
      <c r="I11" s="8">
        <v>0.2</v>
      </c>
      <c r="J11" s="8">
        <v>1.88</v>
      </c>
      <c r="K11" s="8">
        <v>1.88</v>
      </c>
    </row>
    <row r="12" spans="1:11" x14ac:dyDescent="0.2">
      <c r="A12" s="19" t="s">
        <v>64</v>
      </c>
      <c r="B12" s="19"/>
      <c r="C12" s="52">
        <v>0.75</v>
      </c>
      <c r="D12" s="52">
        <v>0.75</v>
      </c>
      <c r="E12" s="52">
        <v>0.75</v>
      </c>
      <c r="F12" s="52">
        <v>0.75</v>
      </c>
      <c r="G12" s="52">
        <v>0.75</v>
      </c>
      <c r="H12" s="52">
        <v>0.75</v>
      </c>
      <c r="I12" s="52">
        <v>0.75</v>
      </c>
      <c r="J12" s="52">
        <v>1.1000000000000001</v>
      </c>
      <c r="K12" s="52">
        <v>1</v>
      </c>
    </row>
    <row r="13" spans="1:11" x14ac:dyDescent="0.2">
      <c r="A13" s="21" t="s">
        <v>21</v>
      </c>
      <c r="B13" s="21"/>
      <c r="C13" s="9"/>
      <c r="D13" s="9"/>
      <c r="E13" s="9"/>
      <c r="F13" s="9"/>
      <c r="G13" s="9"/>
      <c r="H13" s="9"/>
      <c r="I13" s="9"/>
      <c r="J13" s="9"/>
      <c r="K13" s="9"/>
    </row>
    <row r="14" spans="1:11" x14ac:dyDescent="0.2">
      <c r="A14" s="22" t="s">
        <v>25</v>
      </c>
      <c r="B14" s="22"/>
      <c r="C14" s="10">
        <v>60</v>
      </c>
      <c r="D14" s="10">
        <v>60</v>
      </c>
      <c r="E14" s="10">
        <v>60</v>
      </c>
      <c r="F14" s="10">
        <v>60</v>
      </c>
      <c r="G14" s="10">
        <v>60</v>
      </c>
      <c r="H14" s="10">
        <v>60</v>
      </c>
      <c r="I14" s="10">
        <v>60</v>
      </c>
      <c r="J14" s="10">
        <v>60</v>
      </c>
      <c r="K14" s="10">
        <v>60</v>
      </c>
    </row>
    <row r="15" spans="1:11" x14ac:dyDescent="0.2">
      <c r="A15" s="22" t="s">
        <v>22</v>
      </c>
      <c r="B15" s="22"/>
      <c r="C15" s="11">
        <v>10000</v>
      </c>
      <c r="D15" s="11">
        <v>30000</v>
      </c>
      <c r="E15" s="11">
        <v>15000</v>
      </c>
      <c r="F15" s="11">
        <v>15000</v>
      </c>
      <c r="G15" s="11">
        <v>15000</v>
      </c>
      <c r="H15" s="11">
        <v>30000</v>
      </c>
      <c r="I15" s="11">
        <v>30000</v>
      </c>
      <c r="J15" s="11">
        <v>15000</v>
      </c>
      <c r="K15" s="11">
        <v>30000</v>
      </c>
    </row>
    <row r="16" spans="1:11" x14ac:dyDescent="0.2">
      <c r="A16" s="23" t="s">
        <v>23</v>
      </c>
      <c r="B16" s="23"/>
      <c r="C16" s="24"/>
      <c r="D16" s="24"/>
      <c r="E16" s="24"/>
      <c r="F16" s="24"/>
      <c r="G16" s="24"/>
      <c r="H16" s="24"/>
      <c r="I16" s="24"/>
      <c r="J16" s="24"/>
      <c r="K16" s="24"/>
    </row>
    <row r="17" spans="1:11" x14ac:dyDescent="0.2">
      <c r="A17" s="27" t="s">
        <v>0</v>
      </c>
      <c r="B17" s="27"/>
      <c r="C17" s="57">
        <f t="shared" ref="C17:K17" si="0">(C$5+C$6)*0.21</f>
        <v>1698.8999999999999</v>
      </c>
      <c r="D17" s="57">
        <f t="shared" si="0"/>
        <v>7786.38</v>
      </c>
      <c r="E17" s="57">
        <f t="shared" si="0"/>
        <v>7786.38</v>
      </c>
      <c r="F17" s="57">
        <f t="shared" si="0"/>
        <v>9870</v>
      </c>
      <c r="G17" s="57">
        <f t="shared" si="0"/>
        <v>9870</v>
      </c>
      <c r="H17" s="57">
        <f t="shared" si="0"/>
        <v>15120</v>
      </c>
      <c r="I17" s="57">
        <f t="shared" si="0"/>
        <v>22680</v>
      </c>
      <c r="J17" s="57">
        <f t="shared" si="0"/>
        <v>4759.2299999999996</v>
      </c>
      <c r="K17" s="57">
        <f t="shared" si="0"/>
        <v>30044.489999999998</v>
      </c>
    </row>
    <row r="18" spans="1:11" x14ac:dyDescent="0.2">
      <c r="A18" s="25" t="s">
        <v>60</v>
      </c>
      <c r="B18" s="25"/>
      <c r="C18" s="57">
        <f t="shared" ref="C18:K18" si="1">(C$5+C$6)/1.21</f>
        <v>6685.9504132231405</v>
      </c>
      <c r="D18" s="57">
        <f t="shared" si="1"/>
        <v>30642.975206611573</v>
      </c>
      <c r="E18" s="57">
        <f t="shared" si="1"/>
        <v>30642.975206611573</v>
      </c>
      <c r="F18" s="57">
        <f t="shared" si="1"/>
        <v>38842.975206611569</v>
      </c>
      <c r="G18" s="57">
        <f t="shared" si="1"/>
        <v>38842.975206611569</v>
      </c>
      <c r="H18" s="57">
        <f t="shared" si="1"/>
        <v>59504.132231404961</v>
      </c>
      <c r="I18" s="57">
        <f t="shared" si="1"/>
        <v>89256.198347107435</v>
      </c>
      <c r="J18" s="57">
        <f t="shared" si="1"/>
        <v>18729.752066115703</v>
      </c>
      <c r="K18" s="57">
        <f t="shared" si="1"/>
        <v>118238.84297520661</v>
      </c>
    </row>
    <row r="19" spans="1:11" x14ac:dyDescent="0.2">
      <c r="A19" s="25" t="s">
        <v>61</v>
      </c>
      <c r="B19" s="25"/>
      <c r="C19" s="58">
        <f t="shared" ref="C19:K19" si="2">C12*(C5*0.85-(0.8%*C14*C5)-(C15*(C14/12)*(0.015+C5/2000000)))/1.21</f>
        <v>1179.5764462809918</v>
      </c>
      <c r="D19" s="58">
        <f t="shared" si="2"/>
        <v>5110.8533057851255</v>
      </c>
      <c r="E19" s="58">
        <f t="shared" si="2"/>
        <v>6635.1353305785133</v>
      </c>
      <c r="F19" s="58">
        <f t="shared" si="2"/>
        <v>8680.0103305785124</v>
      </c>
      <c r="G19" s="58">
        <f t="shared" si="2"/>
        <v>8680.0103305785124</v>
      </c>
      <c r="H19" s="58">
        <f t="shared" si="2"/>
        <v>11404.958677685951</v>
      </c>
      <c r="I19" s="58">
        <f t="shared" si="2"/>
        <v>17987.603305785124</v>
      </c>
      <c r="J19" s="58">
        <f t="shared" si="2"/>
        <v>5525.4068181818175</v>
      </c>
      <c r="K19" s="58">
        <f t="shared" si="2"/>
        <v>32348.061983471074</v>
      </c>
    </row>
    <row r="20" spans="1:11" x14ac:dyDescent="0.2">
      <c r="A20" s="25" t="s">
        <v>38</v>
      </c>
      <c r="B20" s="25"/>
      <c r="C20" s="59">
        <f t="shared" ref="C20:K20" si="3">C$18-C$19</f>
        <v>5506.3739669421484</v>
      </c>
      <c r="D20" s="59">
        <f t="shared" si="3"/>
        <v>25532.121900826445</v>
      </c>
      <c r="E20" s="59">
        <f t="shared" si="3"/>
        <v>24007.83987603306</v>
      </c>
      <c r="F20" s="59">
        <f t="shared" si="3"/>
        <v>30162.964876033056</v>
      </c>
      <c r="G20" s="59">
        <f t="shared" si="3"/>
        <v>30162.964876033056</v>
      </c>
      <c r="H20" s="59">
        <f t="shared" si="3"/>
        <v>48099.173553719011</v>
      </c>
      <c r="I20" s="59">
        <f t="shared" si="3"/>
        <v>71268.595041322318</v>
      </c>
      <c r="J20" s="59">
        <f t="shared" si="3"/>
        <v>13204.345247933885</v>
      </c>
      <c r="K20" s="59">
        <f t="shared" si="3"/>
        <v>85890.780991735548</v>
      </c>
    </row>
    <row r="21" spans="1:11" x14ac:dyDescent="0.2">
      <c r="A21" s="25" t="s">
        <v>63</v>
      </c>
      <c r="B21" s="25"/>
      <c r="C21" s="60">
        <f t="shared" ref="C21:K21" si="4">-PMT(5.5%/12,C$14,C$20)*C14-C20</f>
        <v>804.31456032036476</v>
      </c>
      <c r="D21" s="60">
        <f t="shared" si="4"/>
        <v>3729.4701602174937</v>
      </c>
      <c r="E21" s="60">
        <f t="shared" si="4"/>
        <v>3506.8186959442173</v>
      </c>
      <c r="F21" s="60">
        <f t="shared" si="4"/>
        <v>4405.8961446996873</v>
      </c>
      <c r="G21" s="60">
        <f t="shared" si="4"/>
        <v>4405.8961446996873</v>
      </c>
      <c r="H21" s="60">
        <f t="shared" si="4"/>
        <v>7025.8333089781663</v>
      </c>
      <c r="I21" s="60">
        <f t="shared" si="4"/>
        <v>10410.184457040072</v>
      </c>
      <c r="J21" s="60">
        <f t="shared" si="4"/>
        <v>1928.7551492453549</v>
      </c>
      <c r="K21" s="60">
        <f t="shared" si="4"/>
        <v>12546.043215314799</v>
      </c>
    </row>
    <row r="22" spans="1:11" x14ac:dyDescent="0.2">
      <c r="A22" s="25" t="s">
        <v>24</v>
      </c>
      <c r="B22" s="25"/>
      <c r="C22" s="61">
        <f t="shared" ref="C22:K22" si="5">C$10/100*C$11/1.21</f>
        <v>8.2644628099173573E-3</v>
      </c>
      <c r="D22" s="61">
        <f t="shared" si="5"/>
        <v>3.3057851239669429E-2</v>
      </c>
      <c r="E22" s="61">
        <f t="shared" si="5"/>
        <v>3.3057851239669429E-2</v>
      </c>
      <c r="F22" s="61">
        <f t="shared" si="5"/>
        <v>7.768595041322314E-2</v>
      </c>
      <c r="G22" s="61">
        <f t="shared" si="5"/>
        <v>7.768595041322314E-2</v>
      </c>
      <c r="H22" s="61">
        <f t="shared" si="5"/>
        <v>3.9669421487603308E-2</v>
      </c>
      <c r="I22" s="61">
        <f t="shared" si="5"/>
        <v>3.9669421487603308E-2</v>
      </c>
      <c r="J22" s="61">
        <f t="shared" si="5"/>
        <v>0.10876033057851239</v>
      </c>
      <c r="K22" s="61">
        <f t="shared" si="5"/>
        <v>0.21752066115702479</v>
      </c>
    </row>
    <row r="23" spans="1:11" x14ac:dyDescent="0.2">
      <c r="A23" s="25" t="s">
        <v>32</v>
      </c>
      <c r="B23" s="25"/>
      <c r="C23" s="59">
        <f t="shared" ref="C23:K23" si="6">C14*(C$15*C$22/12)/1.21</f>
        <v>341.50672768253543</v>
      </c>
      <c r="D23" s="59">
        <f t="shared" si="6"/>
        <v>4098.0807321904249</v>
      </c>
      <c r="E23" s="59">
        <f t="shared" si="6"/>
        <v>2049.0403660952124</v>
      </c>
      <c r="F23" s="59">
        <f t="shared" si="6"/>
        <v>4815.244860323749</v>
      </c>
      <c r="G23" s="59">
        <f t="shared" si="6"/>
        <v>4815.244860323749</v>
      </c>
      <c r="H23" s="59">
        <f t="shared" si="6"/>
        <v>4917.6968786285097</v>
      </c>
      <c r="I23" s="59">
        <f t="shared" si="6"/>
        <v>4917.6968786285097</v>
      </c>
      <c r="J23" s="59">
        <f t="shared" si="6"/>
        <v>6741.3428044532475</v>
      </c>
      <c r="K23" s="59">
        <f t="shared" si="6"/>
        <v>26965.37121781299</v>
      </c>
    </row>
    <row r="24" spans="1:11" x14ac:dyDescent="0.2">
      <c r="A24" s="27" t="s">
        <v>1</v>
      </c>
      <c r="B24" s="27"/>
      <c r="C24" s="59">
        <f t="shared" ref="C24:K24" si="7">C14*(250+0.015*C$18)/12</f>
        <v>1751.4462809917356</v>
      </c>
      <c r="D24" s="59">
        <f t="shared" si="7"/>
        <v>3548.2231404958679</v>
      </c>
      <c r="E24" s="59">
        <f t="shared" si="7"/>
        <v>3548.2231404958679</v>
      </c>
      <c r="F24" s="59">
        <f t="shared" si="7"/>
        <v>4163.2231404958675</v>
      </c>
      <c r="G24" s="59">
        <f t="shared" si="7"/>
        <v>4163.2231404958675</v>
      </c>
      <c r="H24" s="59">
        <f t="shared" si="7"/>
        <v>5712.8099173553719</v>
      </c>
      <c r="I24" s="59">
        <f t="shared" si="7"/>
        <v>7944.2148760330574</v>
      </c>
      <c r="J24" s="59">
        <f t="shared" si="7"/>
        <v>2654.7314049586776</v>
      </c>
      <c r="K24" s="59">
        <f t="shared" si="7"/>
        <v>10117.913223140496</v>
      </c>
    </row>
    <row r="25" spans="1:11" x14ac:dyDescent="0.2">
      <c r="A25" s="25" t="s">
        <v>2</v>
      </c>
      <c r="B25" s="25"/>
      <c r="C25" s="59">
        <v>0</v>
      </c>
      <c r="D25" s="59">
        <v>0</v>
      </c>
      <c r="E25" s="59">
        <v>0</v>
      </c>
      <c r="F25" s="59">
        <f>IF(OR(F$9="Elektriciteit",F$9="PHEV"),(F$4*0.85-450)/12/2,IF(F$9="Benzine",(F$4*0.85-450)/12,IF(F$9="LPG",(F$4*1.341-318)/12,IF(F$9="LPG3/Aardgas",(F$4*1.35-743)/12,IF(F$9="Diesel",(F$4*1.33-397)/12)))))*F14</f>
        <v>2551.25</v>
      </c>
      <c r="G25" s="59">
        <f>IF(OR(G$9="Elektriciteit",G$9="PHEV"),(G$4*0.85-450)/12/2,IF(G$9="Benzine",(G$4*0.85-450)/12,IF(G$9="LPG",(G$4*1.341-318)/12,IF(G$9="LPG3/Aardgas",(G$4*1.35-743)/12,IF(G$9="Diesel",(G$4*1.33-397)/12)))))*G14</f>
        <v>2551.25</v>
      </c>
      <c r="H25" s="59">
        <v>0</v>
      </c>
      <c r="I25" s="59">
        <v>0</v>
      </c>
      <c r="J25" s="59">
        <f>IF(OR(J$9="Elektriciteit",J$9="PHEV"),(J$4*0.85-450)/12,IF(J$9="Benzine",(J$4*0.85-450)/12,IF(J$9="LPG",(J$4*1.341-318)/12,IF(J$9="LPG3/Aardgas",(J$4*1.35-743)/12,IF(J$9="Diesel",(J$4*1.33-397)/12)))))*J14</f>
        <v>2637.5</v>
      </c>
      <c r="K25" s="59">
        <f>IF(OR(K$9="Elektriciteit",K$9="PHEV"),(K$4*0.85-450)/12,IF(K$9="Benzine",(K$4*0.85-450)/12,IF(K$9="LPG",(K$4*1.341-318)/12,IF(K$9="LPG3/Aardgas",(K$4*1.35-743)/12,IF(K$9="Diesel",(K$4*1.33-397)/12)))))*K14</f>
        <v>4125</v>
      </c>
    </row>
    <row r="26" spans="1:11" x14ac:dyDescent="0.2">
      <c r="A26" s="25" t="s">
        <v>31</v>
      </c>
      <c r="B26" s="25"/>
      <c r="C26" s="59">
        <f t="shared" ref="C26:K26" si="8">(C15/12)*(0.015+C5/2000000)*C14</f>
        <v>942.25</v>
      </c>
      <c r="D26" s="59">
        <f t="shared" si="8"/>
        <v>4918.3499999999995</v>
      </c>
      <c r="E26" s="59">
        <f t="shared" si="8"/>
        <v>2459.1749999999997</v>
      </c>
      <c r="F26" s="59">
        <f t="shared" si="8"/>
        <v>2831.25</v>
      </c>
      <c r="G26" s="59">
        <f t="shared" si="8"/>
        <v>2831.25</v>
      </c>
      <c r="H26" s="59">
        <f t="shared" si="8"/>
        <v>7500</v>
      </c>
      <c r="I26" s="59">
        <f t="shared" si="8"/>
        <v>10200</v>
      </c>
      <c r="J26" s="59">
        <f t="shared" si="8"/>
        <v>1937.3625</v>
      </c>
      <c r="K26" s="59">
        <f t="shared" si="8"/>
        <v>12773.174999999999</v>
      </c>
    </row>
    <row r="27" spans="1:11" x14ac:dyDescent="0.2">
      <c r="A27" s="23" t="s">
        <v>75</v>
      </c>
      <c r="B27" s="23"/>
      <c r="C27" s="69">
        <f t="shared" ref="C27:K27" si="9">C20+C$21+C$24+C$25+C$26+C$23</f>
        <v>9345.8915359367857</v>
      </c>
      <c r="D27" s="69">
        <f t="shared" si="9"/>
        <v>41826.245933730228</v>
      </c>
      <c r="E27" s="69">
        <f t="shared" si="9"/>
        <v>35571.09707856836</v>
      </c>
      <c r="F27" s="69">
        <f t="shared" si="9"/>
        <v>48929.829021552359</v>
      </c>
      <c r="G27" s="69">
        <f t="shared" si="9"/>
        <v>48929.829021552359</v>
      </c>
      <c r="H27" s="69">
        <f t="shared" si="9"/>
        <v>73255.51365868107</v>
      </c>
      <c r="I27" s="69">
        <f t="shared" si="9"/>
        <v>104740.69125302396</v>
      </c>
      <c r="J27" s="69">
        <f t="shared" si="9"/>
        <v>29104.037106591164</v>
      </c>
      <c r="K27" s="69">
        <f t="shared" si="9"/>
        <v>152418.28364800382</v>
      </c>
    </row>
    <row r="28" spans="1:11" x14ac:dyDescent="0.2">
      <c r="A28" s="21" t="s">
        <v>67</v>
      </c>
      <c r="B28" s="21"/>
      <c r="C28" s="12"/>
      <c r="D28" s="12"/>
      <c r="E28" s="12"/>
      <c r="F28" s="12"/>
      <c r="G28" s="12"/>
      <c r="H28" s="12"/>
      <c r="I28" s="12"/>
      <c r="J28" s="12"/>
      <c r="K28" s="12"/>
    </row>
    <row r="29" spans="1:11" x14ac:dyDescent="0.2">
      <c r="A29" s="22" t="s">
        <v>70</v>
      </c>
      <c r="B29" s="72">
        <v>250000</v>
      </c>
      <c r="C29" s="72">
        <v>250000</v>
      </c>
      <c r="D29" s="72">
        <v>250000</v>
      </c>
      <c r="E29" s="72">
        <v>250000</v>
      </c>
      <c r="F29" s="72">
        <v>250000</v>
      </c>
      <c r="G29" s="72">
        <v>250000</v>
      </c>
      <c r="H29" s="72">
        <v>250000</v>
      </c>
      <c r="I29" s="72">
        <v>250000</v>
      </c>
      <c r="J29" s="72">
        <v>250000</v>
      </c>
      <c r="K29" s="72">
        <v>250000</v>
      </c>
    </row>
    <row r="30" spans="1:11" x14ac:dyDescent="0.2">
      <c r="A30" s="22" t="s">
        <v>68</v>
      </c>
      <c r="B30" s="70">
        <v>0.7</v>
      </c>
      <c r="C30" s="70">
        <v>0.7</v>
      </c>
      <c r="D30" s="70">
        <v>0.7</v>
      </c>
      <c r="E30" s="70">
        <v>0.7</v>
      </c>
      <c r="F30" s="70">
        <v>0.7</v>
      </c>
      <c r="G30" s="70">
        <v>0.7</v>
      </c>
      <c r="H30" s="70">
        <v>0.7</v>
      </c>
      <c r="I30" s="70">
        <v>0.7</v>
      </c>
      <c r="J30" s="70">
        <v>0.7</v>
      </c>
      <c r="K30" s="70">
        <v>0.7</v>
      </c>
    </row>
    <row r="31" spans="1:11" x14ac:dyDescent="0.2">
      <c r="A31" s="22" t="s">
        <v>93</v>
      </c>
      <c r="B31" s="70">
        <v>0.5</v>
      </c>
      <c r="C31" s="70">
        <v>0.5</v>
      </c>
      <c r="D31" s="70">
        <v>0.5</v>
      </c>
      <c r="E31" s="70">
        <v>0.5</v>
      </c>
      <c r="F31" s="70">
        <v>0.5</v>
      </c>
      <c r="G31" s="70">
        <v>0.5</v>
      </c>
      <c r="H31" s="70">
        <v>0.5</v>
      </c>
      <c r="I31" s="70">
        <v>0.5</v>
      </c>
      <c r="J31" s="70">
        <v>0.5</v>
      </c>
      <c r="K31" s="70">
        <v>0.5</v>
      </c>
    </row>
    <row r="32" spans="1:11" x14ac:dyDescent="0.2">
      <c r="A32" s="22" t="s">
        <v>66</v>
      </c>
      <c r="B32" s="70">
        <v>0.2</v>
      </c>
      <c r="C32" s="70">
        <v>0.2</v>
      </c>
      <c r="D32" s="70">
        <v>0.2</v>
      </c>
      <c r="E32" s="70">
        <v>0.2</v>
      </c>
      <c r="F32" s="70">
        <v>0.2</v>
      </c>
      <c r="G32" s="70">
        <v>0.2</v>
      </c>
      <c r="H32" s="70">
        <v>0.2</v>
      </c>
      <c r="I32" s="70">
        <v>0.2</v>
      </c>
      <c r="J32" s="70">
        <v>0.2</v>
      </c>
      <c r="K32" s="70">
        <v>0.2</v>
      </c>
    </row>
    <row r="33" spans="1:11" x14ac:dyDescent="0.2">
      <c r="A33" s="22" t="s">
        <v>65</v>
      </c>
      <c r="B33" s="71">
        <v>0.52</v>
      </c>
      <c r="C33" s="71">
        <v>0.52</v>
      </c>
      <c r="D33" s="71">
        <v>0.52</v>
      </c>
      <c r="E33" s="71">
        <v>0.52</v>
      </c>
      <c r="F33" s="71">
        <v>0.52</v>
      </c>
      <c r="G33" s="71">
        <v>0.52</v>
      </c>
      <c r="H33" s="71">
        <v>0.52</v>
      </c>
      <c r="I33" s="71">
        <v>0.52</v>
      </c>
      <c r="J33" s="71">
        <v>0.52</v>
      </c>
      <c r="K33" s="71">
        <v>0.52</v>
      </c>
    </row>
    <row r="34" spans="1:11" x14ac:dyDescent="0.2">
      <c r="A34" s="65" t="s">
        <v>81</v>
      </c>
      <c r="B34" s="55"/>
      <c r="C34" s="55"/>
      <c r="D34" s="55"/>
      <c r="E34" s="55"/>
      <c r="F34" s="55"/>
      <c r="G34" s="55"/>
      <c r="H34" s="55"/>
      <c r="I34" s="55"/>
      <c r="J34" s="55"/>
      <c r="K34" s="55"/>
    </row>
    <row r="35" spans="1:11" x14ac:dyDescent="0.2">
      <c r="A35" s="68" t="s">
        <v>79</v>
      </c>
      <c r="B35" s="53">
        <f t="shared" ref="B35:K35" si="10">B27</f>
        <v>0</v>
      </c>
      <c r="C35" s="53">
        <f t="shared" si="10"/>
        <v>9345.8915359367857</v>
      </c>
      <c r="D35" s="53">
        <f t="shared" si="10"/>
        <v>41826.245933730228</v>
      </c>
      <c r="E35" s="53">
        <f t="shared" si="10"/>
        <v>35571.09707856836</v>
      </c>
      <c r="F35" s="53">
        <f t="shared" si="10"/>
        <v>48929.829021552359</v>
      </c>
      <c r="G35" s="53">
        <f t="shared" si="10"/>
        <v>48929.829021552359</v>
      </c>
      <c r="H35" s="53">
        <f t="shared" si="10"/>
        <v>73255.51365868107</v>
      </c>
      <c r="I35" s="53">
        <f t="shared" si="10"/>
        <v>104740.69125302396</v>
      </c>
      <c r="J35" s="53">
        <f t="shared" si="10"/>
        <v>29104.037106591164</v>
      </c>
      <c r="K35" s="53">
        <f t="shared" si="10"/>
        <v>152418.28364800382</v>
      </c>
    </row>
    <row r="36" spans="1:11" x14ac:dyDescent="0.2">
      <c r="A36" s="68" t="s">
        <v>97</v>
      </c>
      <c r="B36" s="53">
        <f>0.027*B18</f>
        <v>0</v>
      </c>
      <c r="C36" s="53">
        <f t="shared" ref="C36:K36" si="11">0.027*C18</f>
        <v>180.52066115702479</v>
      </c>
      <c r="D36" s="53">
        <f t="shared" si="11"/>
        <v>827.3603305785125</v>
      </c>
      <c r="E36" s="53">
        <f t="shared" si="11"/>
        <v>827.3603305785125</v>
      </c>
      <c r="F36" s="53">
        <f t="shared" si="11"/>
        <v>1048.7603305785124</v>
      </c>
      <c r="G36" s="53">
        <f t="shared" si="11"/>
        <v>1048.7603305785124</v>
      </c>
      <c r="H36" s="53">
        <f t="shared" si="11"/>
        <v>1606.611570247934</v>
      </c>
      <c r="I36" s="53">
        <f t="shared" si="11"/>
        <v>2409.9173553719006</v>
      </c>
      <c r="J36" s="53">
        <f t="shared" si="11"/>
        <v>505.70330578512397</v>
      </c>
      <c r="K36" s="53">
        <f t="shared" si="11"/>
        <v>3192.4487603305784</v>
      </c>
    </row>
    <row r="37" spans="1:11" x14ac:dyDescent="0.2">
      <c r="A37" s="25" t="s">
        <v>80</v>
      </c>
      <c r="B37" s="53">
        <f>0.36*MIN(B18,50000)*(B14/60)</f>
        <v>0</v>
      </c>
      <c r="C37" s="53">
        <f>0.36*MIN(C18,50000)*(C14/60)</f>
        <v>2406.9421487603304</v>
      </c>
      <c r="D37" s="53">
        <f>0.36*MIN(D18,50000)*(D14/60)</f>
        <v>11031.471074380166</v>
      </c>
      <c r="E37" s="53">
        <f>0.36*MIN(E18,50000)*(E14/60)</f>
        <v>11031.471074380166</v>
      </c>
      <c r="F37" s="53">
        <v>0</v>
      </c>
      <c r="G37" s="53">
        <v>0</v>
      </c>
      <c r="H37" s="53">
        <f>0.36*MIN(H18,50000)*(H14/60)</f>
        <v>18000</v>
      </c>
      <c r="I37" s="53">
        <f>0.36*MIN(I18,50000)*(I14/60)</f>
        <v>18000</v>
      </c>
      <c r="J37" s="53">
        <v>0</v>
      </c>
      <c r="K37" s="53">
        <v>0</v>
      </c>
    </row>
    <row r="38" spans="1:11" x14ac:dyDescent="0.2">
      <c r="A38" s="25" t="s">
        <v>96</v>
      </c>
      <c r="B38" s="53">
        <f>(B14/60)*IF(B$18&lt;=2300,0,IF(B$18&lt;=55248,28%*B$18,IF(B$18&lt;=102311,15470,15470-7.65%*(B$18-102311))))</f>
        <v>0</v>
      </c>
      <c r="C38" s="53">
        <v>0</v>
      </c>
      <c r="D38" s="53">
        <v>0</v>
      </c>
      <c r="E38" s="53">
        <v>0</v>
      </c>
      <c r="F38" s="53">
        <v>0</v>
      </c>
      <c r="G38" s="53">
        <v>0</v>
      </c>
      <c r="H38" s="53">
        <v>0</v>
      </c>
      <c r="I38" s="53">
        <v>0</v>
      </c>
      <c r="J38" s="53">
        <v>0</v>
      </c>
      <c r="K38" s="53">
        <v>0</v>
      </c>
    </row>
    <row r="39" spans="1:11" x14ac:dyDescent="0.2">
      <c r="A39" s="25" t="s">
        <v>78</v>
      </c>
      <c r="B39" s="53">
        <f t="shared" ref="B39" si="12">B30*(B29-B35-B37-B38)</f>
        <v>175000</v>
      </c>
      <c r="C39" s="53">
        <f t="shared" ref="C39:K39" si="13">C30*(C29-C35-C36-C37-C38)</f>
        <v>166646.65195790207</v>
      </c>
      <c r="D39" s="53">
        <f t="shared" si="13"/>
        <v>137420.44586291778</v>
      </c>
      <c r="E39" s="53">
        <f t="shared" si="13"/>
        <v>141799.05006153107</v>
      </c>
      <c r="F39" s="53">
        <f t="shared" si="13"/>
        <v>140014.98745350839</v>
      </c>
      <c r="G39" s="53">
        <f t="shared" si="13"/>
        <v>140014.98745350839</v>
      </c>
      <c r="H39" s="53">
        <f t="shared" si="13"/>
        <v>109996.51233974968</v>
      </c>
      <c r="I39" s="53">
        <f t="shared" si="13"/>
        <v>87394.573974122875</v>
      </c>
      <c r="J39" s="53">
        <f t="shared" si="13"/>
        <v>154273.18171133657</v>
      </c>
      <c r="K39" s="53">
        <f t="shared" si="13"/>
        <v>66072.487314165919</v>
      </c>
    </row>
    <row r="40" spans="1:11" x14ac:dyDescent="0.2">
      <c r="A40" s="25" t="s">
        <v>76</v>
      </c>
      <c r="B40" s="53">
        <f t="shared" ref="B40" si="14">B29-B35-B37-B38-B39</f>
        <v>75000</v>
      </c>
      <c r="C40" s="53">
        <f t="shared" ref="C40:K40" si="15">C29-C35-C36-C37-C38-C39</f>
        <v>71419.993696243764</v>
      </c>
      <c r="D40" s="53">
        <f t="shared" si="15"/>
        <v>58894.476798393327</v>
      </c>
      <c r="E40" s="53">
        <f t="shared" si="15"/>
        <v>60771.021454941889</v>
      </c>
      <c r="F40" s="53">
        <f t="shared" si="15"/>
        <v>60006.423194360745</v>
      </c>
      <c r="G40" s="53">
        <f t="shared" si="15"/>
        <v>60006.423194360745</v>
      </c>
      <c r="H40" s="53">
        <f t="shared" si="15"/>
        <v>47141.362431321308</v>
      </c>
      <c r="I40" s="53">
        <f t="shared" si="15"/>
        <v>37454.817417481245</v>
      </c>
      <c r="J40" s="53">
        <f t="shared" si="15"/>
        <v>66117.077876287134</v>
      </c>
      <c r="K40" s="53">
        <f t="shared" si="15"/>
        <v>28316.780277499682</v>
      </c>
    </row>
    <row r="41" spans="1:11" x14ac:dyDescent="0.2">
      <c r="A41" s="25" t="s">
        <v>77</v>
      </c>
      <c r="B41" s="53">
        <f t="shared" ref="B41:K41" si="16">B40*B32</f>
        <v>15000</v>
      </c>
      <c r="C41" s="53">
        <f t="shared" si="16"/>
        <v>14283.998739248753</v>
      </c>
      <c r="D41" s="53">
        <f t="shared" si="16"/>
        <v>11778.895359678667</v>
      </c>
      <c r="E41" s="53">
        <f t="shared" si="16"/>
        <v>12154.204290988378</v>
      </c>
      <c r="F41" s="53">
        <f t="shared" si="16"/>
        <v>12001.28463887215</v>
      </c>
      <c r="G41" s="53">
        <f t="shared" si="16"/>
        <v>12001.28463887215</v>
      </c>
      <c r="H41" s="53">
        <f t="shared" si="16"/>
        <v>9428.2724862642626</v>
      </c>
      <c r="I41" s="53">
        <f t="shared" si="16"/>
        <v>7490.963483496249</v>
      </c>
      <c r="J41" s="53">
        <f t="shared" si="16"/>
        <v>13223.415575257428</v>
      </c>
      <c r="K41" s="53">
        <f t="shared" si="16"/>
        <v>5663.3560554999367</v>
      </c>
    </row>
    <row r="42" spans="1:11" x14ac:dyDescent="0.2">
      <c r="A42" s="65" t="s">
        <v>82</v>
      </c>
      <c r="B42" s="66"/>
      <c r="C42" s="67"/>
      <c r="D42" s="67"/>
      <c r="E42" s="67"/>
      <c r="F42" s="67"/>
      <c r="G42" s="67"/>
      <c r="H42" s="67"/>
      <c r="I42" s="67"/>
      <c r="J42" s="67"/>
      <c r="K42" s="67"/>
    </row>
    <row r="43" spans="1:11" x14ac:dyDescent="0.2">
      <c r="A43" s="25" t="s">
        <v>83</v>
      </c>
      <c r="B43" s="53">
        <f t="shared" ref="B43" si="17">B29-B35-B39-B41</f>
        <v>60000</v>
      </c>
      <c r="C43" s="53">
        <f t="shared" ref="C43:K43" si="18">C29-C35-C36-C39-C41</f>
        <v>59542.937105755351</v>
      </c>
      <c r="D43" s="53">
        <f t="shared" si="18"/>
        <v>58147.052513094815</v>
      </c>
      <c r="E43" s="53">
        <f t="shared" si="18"/>
        <v>59648.288238333669</v>
      </c>
      <c r="F43" s="53">
        <f t="shared" si="18"/>
        <v>48005.138555488593</v>
      </c>
      <c r="G43" s="53">
        <f t="shared" si="18"/>
        <v>48005.138555488593</v>
      </c>
      <c r="H43" s="53">
        <f t="shared" si="18"/>
        <v>55713.089945057043</v>
      </c>
      <c r="I43" s="53">
        <f t="shared" si="18"/>
        <v>47963.853933984996</v>
      </c>
      <c r="J43" s="53">
        <f t="shared" si="18"/>
        <v>52893.662301029704</v>
      </c>
      <c r="K43" s="53">
        <f t="shared" si="18"/>
        <v>22653.424221999747</v>
      </c>
    </row>
    <row r="44" spans="1:11" x14ac:dyDescent="0.2">
      <c r="A44" s="25" t="s">
        <v>69</v>
      </c>
      <c r="B44" s="53">
        <f t="shared" ref="B44:K44" si="19">B43*B31</f>
        <v>30000</v>
      </c>
      <c r="C44" s="53">
        <f t="shared" si="19"/>
        <v>29771.468552877675</v>
      </c>
      <c r="D44" s="53">
        <f t="shared" si="19"/>
        <v>29073.526256547408</v>
      </c>
      <c r="E44" s="53">
        <f t="shared" si="19"/>
        <v>29824.144119166835</v>
      </c>
      <c r="F44" s="53">
        <f t="shared" si="19"/>
        <v>24002.569277744296</v>
      </c>
      <c r="G44" s="53">
        <f t="shared" si="19"/>
        <v>24002.569277744296</v>
      </c>
      <c r="H44" s="53">
        <f t="shared" si="19"/>
        <v>27856.544972528522</v>
      </c>
      <c r="I44" s="53">
        <f t="shared" si="19"/>
        <v>23981.926966992498</v>
      </c>
      <c r="J44" s="53">
        <f t="shared" si="19"/>
        <v>26446.831150514852</v>
      </c>
      <c r="K44" s="53">
        <f t="shared" si="19"/>
        <v>11326.712110999873</v>
      </c>
    </row>
    <row r="45" spans="1:11" x14ac:dyDescent="0.2">
      <c r="A45" s="25" t="s">
        <v>92</v>
      </c>
      <c r="B45" s="53">
        <f t="shared" ref="B45:K45" si="20">B43-B44</f>
        <v>30000</v>
      </c>
      <c r="C45" s="53">
        <f t="shared" si="20"/>
        <v>29771.468552877675</v>
      </c>
      <c r="D45" s="53">
        <f t="shared" si="20"/>
        <v>29073.526256547408</v>
      </c>
      <c r="E45" s="53">
        <f t="shared" si="20"/>
        <v>29824.144119166835</v>
      </c>
      <c r="F45" s="53">
        <f t="shared" si="20"/>
        <v>24002.569277744296</v>
      </c>
      <c r="G45" s="53">
        <f t="shared" si="20"/>
        <v>24002.569277744296</v>
      </c>
      <c r="H45" s="53">
        <f t="shared" si="20"/>
        <v>27856.544972528522</v>
      </c>
      <c r="I45" s="53">
        <f t="shared" si="20"/>
        <v>23981.926966992498</v>
      </c>
      <c r="J45" s="53">
        <f t="shared" si="20"/>
        <v>26446.831150514852</v>
      </c>
      <c r="K45" s="53">
        <f t="shared" si="20"/>
        <v>11326.712110999873</v>
      </c>
    </row>
    <row r="46" spans="1:11" x14ac:dyDescent="0.2">
      <c r="A46" s="65" t="s">
        <v>84</v>
      </c>
      <c r="B46" s="66"/>
      <c r="C46" s="66"/>
      <c r="D46" s="66"/>
      <c r="E46" s="66"/>
      <c r="F46" s="66"/>
      <c r="G46" s="66"/>
      <c r="H46" s="66"/>
      <c r="I46" s="66"/>
      <c r="J46" s="66"/>
      <c r="K46" s="66"/>
    </row>
    <row r="47" spans="1:11" x14ac:dyDescent="0.2">
      <c r="A47" s="25" t="s">
        <v>85</v>
      </c>
      <c r="B47" s="53">
        <f t="shared" ref="B47:K47" si="21">B33*B39</f>
        <v>91000</v>
      </c>
      <c r="C47" s="53">
        <f t="shared" si="21"/>
        <v>86656.259018109078</v>
      </c>
      <c r="D47" s="53">
        <f t="shared" si="21"/>
        <v>71458.631848717254</v>
      </c>
      <c r="E47" s="53">
        <f t="shared" si="21"/>
        <v>73735.506031996163</v>
      </c>
      <c r="F47" s="53">
        <f t="shared" si="21"/>
        <v>72807.793475824365</v>
      </c>
      <c r="G47" s="53">
        <f t="shared" si="21"/>
        <v>72807.793475824365</v>
      </c>
      <c r="H47" s="53">
        <f t="shared" si="21"/>
        <v>57198.186416669836</v>
      </c>
      <c r="I47" s="53">
        <f t="shared" si="21"/>
        <v>45445.178466543897</v>
      </c>
      <c r="J47" s="53">
        <f t="shared" si="21"/>
        <v>80222.054489895017</v>
      </c>
      <c r="K47" s="53">
        <f t="shared" si="21"/>
        <v>34357.693403366276</v>
      </c>
    </row>
    <row r="48" spans="1:11" x14ac:dyDescent="0.2">
      <c r="A48" s="25" t="s">
        <v>86</v>
      </c>
      <c r="B48" s="53">
        <f t="shared" ref="B48:K48" si="22">0.25*B44</f>
        <v>7500</v>
      </c>
      <c r="C48" s="53">
        <f t="shared" si="22"/>
        <v>7442.8671382194188</v>
      </c>
      <c r="D48" s="53">
        <f t="shared" si="22"/>
        <v>7268.3815641368519</v>
      </c>
      <c r="E48" s="53">
        <f t="shared" si="22"/>
        <v>7456.0360297917086</v>
      </c>
      <c r="F48" s="53">
        <f t="shared" si="22"/>
        <v>6000.6423194360741</v>
      </c>
      <c r="G48" s="53">
        <f t="shared" si="22"/>
        <v>6000.6423194360741</v>
      </c>
      <c r="H48" s="53">
        <f t="shared" si="22"/>
        <v>6964.1362431321304</v>
      </c>
      <c r="I48" s="53">
        <f t="shared" si="22"/>
        <v>5995.4817417481245</v>
      </c>
      <c r="J48" s="53">
        <f t="shared" si="22"/>
        <v>6611.707787628713</v>
      </c>
      <c r="K48" s="53">
        <f t="shared" si="22"/>
        <v>2831.6780277499684</v>
      </c>
    </row>
    <row r="49" spans="1:11" x14ac:dyDescent="0.2">
      <c r="A49" s="25" t="s">
        <v>87</v>
      </c>
      <c r="B49" s="53">
        <f t="shared" ref="B49:K49" si="23">B39-B47</f>
        <v>84000</v>
      </c>
      <c r="C49" s="53">
        <f t="shared" si="23"/>
        <v>79990.39293979299</v>
      </c>
      <c r="D49" s="53">
        <f t="shared" si="23"/>
        <v>65961.814014200529</v>
      </c>
      <c r="E49" s="53">
        <f t="shared" si="23"/>
        <v>68063.544029534911</v>
      </c>
      <c r="F49" s="53">
        <f t="shared" si="23"/>
        <v>67207.19397768403</v>
      </c>
      <c r="G49" s="53">
        <f t="shared" si="23"/>
        <v>67207.19397768403</v>
      </c>
      <c r="H49" s="53">
        <f t="shared" si="23"/>
        <v>52798.325923079843</v>
      </c>
      <c r="I49" s="53">
        <f t="shared" si="23"/>
        <v>41949.395507578978</v>
      </c>
      <c r="J49" s="53">
        <f t="shared" si="23"/>
        <v>74051.127221441551</v>
      </c>
      <c r="K49" s="53">
        <f t="shared" si="23"/>
        <v>31714.793910799643</v>
      </c>
    </row>
    <row r="50" spans="1:11" x14ac:dyDescent="0.2">
      <c r="A50" s="25" t="s">
        <v>88</v>
      </c>
      <c r="B50" s="53">
        <f t="shared" ref="B50:K50" si="24">B44-B48</f>
        <v>22500</v>
      </c>
      <c r="C50" s="53">
        <f t="shared" si="24"/>
        <v>22328.601414658257</v>
      </c>
      <c r="D50" s="53">
        <f t="shared" si="24"/>
        <v>21805.144692410555</v>
      </c>
      <c r="E50" s="53">
        <f t="shared" si="24"/>
        <v>22368.108089375128</v>
      </c>
      <c r="F50" s="53">
        <f t="shared" si="24"/>
        <v>18001.92695830822</v>
      </c>
      <c r="G50" s="53">
        <f t="shared" si="24"/>
        <v>18001.92695830822</v>
      </c>
      <c r="H50" s="53">
        <f t="shared" si="24"/>
        <v>20892.408729396389</v>
      </c>
      <c r="I50" s="53">
        <f t="shared" si="24"/>
        <v>17986.445225244373</v>
      </c>
      <c r="J50" s="53">
        <f t="shared" si="24"/>
        <v>19835.123362886137</v>
      </c>
      <c r="K50" s="53">
        <f t="shared" si="24"/>
        <v>8495.034083249906</v>
      </c>
    </row>
    <row r="51" spans="1:11" x14ac:dyDescent="0.2">
      <c r="A51" s="62" t="s">
        <v>89</v>
      </c>
      <c r="B51" s="64">
        <f t="shared" ref="B51:K51" si="25">B45+B49+B50</f>
        <v>136500</v>
      </c>
      <c r="C51" s="64">
        <f t="shared" si="25"/>
        <v>132090.46290732891</v>
      </c>
      <c r="D51" s="64">
        <f t="shared" si="25"/>
        <v>116840.48496315849</v>
      </c>
      <c r="E51" s="64">
        <f t="shared" si="25"/>
        <v>120255.79623807687</v>
      </c>
      <c r="F51" s="64">
        <f t="shared" si="25"/>
        <v>109211.69021373654</v>
      </c>
      <c r="G51" s="64">
        <f t="shared" si="25"/>
        <v>109211.69021373654</v>
      </c>
      <c r="H51" s="64">
        <f t="shared" si="25"/>
        <v>101547.27962500474</v>
      </c>
      <c r="I51" s="64">
        <f t="shared" si="25"/>
        <v>83917.767699815842</v>
      </c>
      <c r="J51" s="64">
        <f t="shared" si="25"/>
        <v>120333.08173484253</v>
      </c>
      <c r="K51" s="64">
        <f t="shared" si="25"/>
        <v>51536.540105049426</v>
      </c>
    </row>
    <row r="52" spans="1:11" x14ac:dyDescent="0.2">
      <c r="A52" s="62" t="s">
        <v>90</v>
      </c>
      <c r="B52" s="63"/>
      <c r="C52" s="64">
        <f t="shared" ref="C52:K52" si="26">$B$51-C$51</f>
        <v>4409.5370926710893</v>
      </c>
      <c r="D52" s="64">
        <f t="shared" si="26"/>
        <v>19659.515036841505</v>
      </c>
      <c r="E52" s="64">
        <f t="shared" si="26"/>
        <v>16244.203761923127</v>
      </c>
      <c r="F52" s="64">
        <f t="shared" si="26"/>
        <v>27288.30978626346</v>
      </c>
      <c r="G52" s="64">
        <f t="shared" si="26"/>
        <v>27288.30978626346</v>
      </c>
      <c r="H52" s="64">
        <f t="shared" si="26"/>
        <v>34952.72037499526</v>
      </c>
      <c r="I52" s="64">
        <f t="shared" si="26"/>
        <v>52582.232300184158</v>
      </c>
      <c r="J52" s="64">
        <f t="shared" si="26"/>
        <v>16166.918265157467</v>
      </c>
      <c r="K52" s="64">
        <f t="shared" si="26"/>
        <v>84963.459894950574</v>
      </c>
    </row>
    <row r="53" spans="1:11" x14ac:dyDescent="0.2">
      <c r="A53" s="62" t="s">
        <v>91</v>
      </c>
      <c r="B53" s="63"/>
      <c r="C53" s="64">
        <f t="shared" ref="C53:K53" si="27">C52/C14</f>
        <v>73.492284877851489</v>
      </c>
      <c r="D53" s="64">
        <f t="shared" si="27"/>
        <v>327.65858394735841</v>
      </c>
      <c r="E53" s="64">
        <f t="shared" si="27"/>
        <v>270.73672936538543</v>
      </c>
      <c r="F53" s="64">
        <f t="shared" si="27"/>
        <v>454.805163104391</v>
      </c>
      <c r="G53" s="64">
        <f t="shared" si="27"/>
        <v>454.805163104391</v>
      </c>
      <c r="H53" s="64">
        <f t="shared" si="27"/>
        <v>582.5453395832543</v>
      </c>
      <c r="I53" s="64">
        <f t="shared" si="27"/>
        <v>876.37053833640266</v>
      </c>
      <c r="J53" s="64">
        <f t="shared" si="27"/>
        <v>269.44863775262445</v>
      </c>
      <c r="K53" s="64">
        <f t="shared" si="27"/>
        <v>1416.0576649158429</v>
      </c>
    </row>
  </sheetData>
  <dataValidations count="10">
    <dataValidation type="decimal" allowBlank="1" showInputMessage="1" showErrorMessage="1" promptTitle="Toelichting bij Energiekosten" prompt="Vul bij elektriciteit de prijs per kWh is en bij brandstof de prijs per liter._x000a__x000a_Voor particulieren zijn de marginale kosten (wat je extra betaalt voor een extra kWh) in 2012 circa €0,20 en voor grote bedrijven tussen de €0,05 en €0,11." sqref="C11">
      <formula1>0.05</formula1>
      <formula2>300</formula2>
    </dataValidation>
    <dataValidation type="whole" allowBlank="1" showInputMessage="1" showErrorMessage="1" errorTitle="Foutmelding consumentenprijs" error="Vul hier een geheel getal in tussen 1 en 50.000 (in euro's)." promptTitle="Afleverkosten etc." prompt="Vul hier in wat u betaald heeft aan afleverkosten, rijklaar maken en alle andere kosten die de dealer u in rekening bracht. Dit zijn investeringen die u in de auto heeft gedaan. Doe dit incl. BTW." sqref="C6:K6">
      <formula1>1</formula1>
      <formula2>50000</formula2>
    </dataValidation>
    <dataValidation type="decimal" allowBlank="1" showInputMessage="1" showErrorMessage="1" promptTitle="Verbruik in liters of kWh" prompt="Bij benzine, diesel of LPG: het aantal liter per 100 km._x000a_Bij elektriciteit: het aantal kWh per 100 km. _x000a_Vuistregel:tussen 15 en 35kWh._x000a_Als u realistisch wilt zijn vermenigvuldigt u de waarde uit folder (obv de Europese norm) met 1,5 o.i.d." sqref="C10:K10">
      <formula1>0.01</formula1>
      <formula2>30</formula2>
    </dataValidation>
    <dataValidation type="whole" allowBlank="1" showInputMessage="1" showErrorMessage="1" errorTitle="Foutmelding consumentenprijs" error="Vul hier een geheel getal in tussen 1 en 50.000 (in euro's)." promptTitle="Aankoopkorting" prompt="Vaak kunt u aankoopkorting krijgen. Bijvoorbeeld omdat u geen inruilwagen hebt of omdat u vaker bij deze dealer koopt. Deze kortingen worden afgetrokken van uw investering." sqref="C7:K7">
      <formula1>0</formula1>
      <formula2>50000</formula2>
    </dataValidation>
    <dataValidation type="list" allowBlank="1" showInputMessage="1" showErrorMessage="1" errorTitle="Foutmelding bijtelling" error="Geldige bijtellingspercentages zijn 0, 7, 14,20 en 25 procent." promptTitle="Bijtellingspercentage" prompt="Vul hier het bijtellingspercentage van de auto in:_x000a_- 0% voor elektrische auto's en PHEV's_x000a_- 14% voor zeer zuinige auto's_x000a_- 20% voor meer dan gemiddeld zuinige auto's_x000a_- 25% voor de overige auto's" sqref="C8:K8">
      <formula1>lijstbijtelling</formula1>
    </dataValidation>
    <dataValidation type="whole" allowBlank="1" showInputMessage="1" showErrorMessage="1" errorTitle="Foutmelding looptijd" error="U moet een waarde tussen 12 en 120 invullen" promptTitle="Looptijd in maanden" prompt="Vul hier het aantal maanden in dat u de auto wilt gebruiken voor u hem van de hand doet. Let op: MIA en KIA zijn lager als u minder dan 60 maanden invult omdat dan de restwaarde wordt afgetrokken." sqref="C14:K14">
      <formula1>12</formula1>
      <formula2>120</formula2>
    </dataValidation>
    <dataValidation type="whole" allowBlank="1" showInputMessage="1" showErrorMessage="1" errorTitle="Foutmelding kilometrage" error="U moet een geheel getal invullen tussen 0 en 100.000 (kilometer per jaar)." promptTitle="Kilometers per jaar" prompt="Vul hier het aantal kilometer per jaar in dat u gemiddeld denkt te gaan rijden over de looptijd." sqref="C15:K15">
      <formula1>0</formula1>
      <formula2>100000</formula2>
    </dataValidation>
    <dataValidation type="whole" allowBlank="1" showInputMessage="1" showErrorMessage="1" errorTitle="Foutmelding consumentenprijs" error="Vul hier een geheel getal in tussen 500 en 500000 (in euro's)." promptTitle="Consumentenprijs" prompt="Vul hier de consumentenprijs in. _x000a_Dus inclusief BTW en BPM,_x000a_maar exclusief afleverkosten en aankoopkorting." sqref="C5:K5">
      <formula1>500</formula1>
      <formula2>500000</formula2>
    </dataValidation>
    <dataValidation type="list" allowBlank="1" showInputMessage="1" showErrorMessage="1" errorTitle="Waarschuwing keuze energiedrager" error="U hebt een energiedrager ingevuld waar dit model niet mee kan rekenen!" promptTitle="Toelichting keuze energiedrager" prompt="Hoe neemt u energie mee?_x000a_Tankt u benzine, diesel, LPG of elektriciteit?_x000a_Of hebt u een PHEV (plug-in hybrid electric vehicle) waarmee u zowel elektriciteit als brandstof tankt?_x000a_Dit is van belang voor energieprijs, MIA/KIA/VAMIL en inkomensbijtelling." sqref="C9:K9">
      <formula1>LijstEnergiedrager</formula1>
    </dataValidation>
    <dataValidation type="decimal" allowBlank="1" showInputMessage="1" showErrorMessage="1" errorTitle="Foutmelding belastingpercentage" error="Het percentage dat u invult moet tussen 0 en 52 liggen!" promptTitle="Belastingpercentage" prompt="Vul het belastingpercentage in dat uw bedrijf betaalt. Een modaal iemand betaalt 42% en een bovenmodaal iemand 52%. Zie de linkerkolom voor meer uitleg en een rekenvoorbeeld." sqref="B33:K33">
      <formula1>0</formula1>
      <formula2>0.52</formula2>
    </dataValidation>
  </dataValidations>
  <pageMargins left="0.7" right="0.7" top="0.75" bottom="0.75" header="0.3" footer="0.3"/>
  <pageSetup paperSize="9"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21"/>
  <sheetViews>
    <sheetView workbookViewId="0">
      <selection activeCell="A22" sqref="A22"/>
    </sheetView>
  </sheetViews>
  <sheetFormatPr baseColWidth="10" defaultColWidth="8.83203125" defaultRowHeight="15" x14ac:dyDescent="0.2"/>
  <cols>
    <col min="1" max="1" width="20.1640625" customWidth="1"/>
  </cols>
  <sheetData>
    <row r="1" spans="1:1" x14ac:dyDescent="0.2">
      <c r="A1" t="s">
        <v>3</v>
      </c>
    </row>
    <row r="2" spans="1:1" x14ac:dyDescent="0.2">
      <c r="A2" t="s">
        <v>4</v>
      </c>
    </row>
    <row r="3" spans="1:1" x14ac:dyDescent="0.2">
      <c r="A3" t="s">
        <v>5</v>
      </c>
    </row>
    <row r="4" spans="1:1" x14ac:dyDescent="0.2">
      <c r="A4" t="s">
        <v>30</v>
      </c>
    </row>
    <row r="5" spans="1:1" x14ac:dyDescent="0.2">
      <c r="A5" t="s">
        <v>6</v>
      </c>
    </row>
    <row r="6" spans="1:1" x14ac:dyDescent="0.2">
      <c r="A6" t="s">
        <v>7</v>
      </c>
    </row>
    <row r="8" spans="1:1" x14ac:dyDescent="0.2">
      <c r="A8" t="s">
        <v>9</v>
      </c>
    </row>
    <row r="9" spans="1:1" x14ac:dyDescent="0.2">
      <c r="A9" t="s">
        <v>10</v>
      </c>
    </row>
    <row r="10" spans="1:1" x14ac:dyDescent="0.2">
      <c r="A10" t="s">
        <v>11</v>
      </c>
    </row>
    <row r="14" spans="1:1" x14ac:dyDescent="0.2">
      <c r="A14" t="s">
        <v>12</v>
      </c>
    </row>
    <row r="15" spans="1:1" x14ac:dyDescent="0.2">
      <c r="A15" t="s">
        <v>13</v>
      </c>
    </row>
    <row r="17" spans="1:1" x14ac:dyDescent="0.2">
      <c r="A17" s="1">
        <v>0.04</v>
      </c>
    </row>
    <row r="18" spans="1:1" x14ac:dyDescent="0.2">
      <c r="A18" s="1">
        <v>0.15</v>
      </c>
    </row>
    <row r="19" spans="1:1" x14ac:dyDescent="0.2">
      <c r="A19" s="1">
        <v>0.21</v>
      </c>
    </row>
    <row r="20" spans="1:1" x14ac:dyDescent="0.2">
      <c r="A20" s="1">
        <v>0.25</v>
      </c>
    </row>
    <row r="21" spans="1:1" x14ac:dyDescent="0.2">
      <c r="A21" s="1">
        <v>0.25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TCO</vt:lpstr>
      <vt:lpstr>BV</vt:lpstr>
      <vt:lpstr>Basis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Auke</dc:creator>
  <cp:lastModifiedBy>Microsoft Office-gebruiker</cp:lastModifiedBy>
  <cp:lastPrinted>2017-09-29T06:13:35Z</cp:lastPrinted>
  <dcterms:created xsi:type="dcterms:W3CDTF">2012-05-30T04:46:26Z</dcterms:created>
  <dcterms:modified xsi:type="dcterms:W3CDTF">2017-09-29T06:16:26Z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